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tables/table4.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drawings/drawing12.xml" ContentType="application/vnd.openxmlformats-officedocument.drawing+xml"/>
  <Override PartName="/xl/drawings/drawing1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omments3.xml" ContentType="application/vnd.openxmlformats-officedocument.spreadsheetml.comments+xml"/>
  <Override PartName="/xl/comments4.xml" ContentType="application/vnd.openxmlformats-officedocument.spreadsheetml.comments+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omments5.xml" ContentType="application/vnd.openxmlformats-officedocument.spreadsheetml.comments+xml"/>
  <Override PartName="/xl/threadedComments/threadedComment2.xml" ContentType="application/vnd.ms-excel.threadedcomments+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Ex1.xml" ContentType="application/vnd.ms-office.chartex+xml"/>
  <Override PartName="/xl/charts/style8.xml" ContentType="application/vnd.ms-office.chartstyle+xml"/>
  <Override PartName="/xl/charts/colors8.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pdigre\Box\DSq Project Info\Gates Foundation - Anchor Phase II\R1 Workstream 2\Market Analytics\TCO\Security module\"/>
    </mc:Choice>
  </mc:AlternateContent>
  <xr:revisionPtr revIDLastSave="0" documentId="13_ncr:1_{2D9B04F8-39CC-4AC7-A257-6E4DE9C604B5}" xr6:coauthVersionLast="47" xr6:coauthVersionMax="47" xr10:uidLastSave="{00000000-0000-0000-0000-000000000000}"/>
  <bookViews>
    <workbookView xWindow="4065" yWindow="990" windowWidth="24495" windowHeight="15045" tabRatio="808" xr2:uid="{04CC87BE-EB72-401A-BD8A-AB29C37B6A25}"/>
  </bookViews>
  <sheets>
    <sheet name="Menu" sheetId="41" r:id="rId1"/>
    <sheet name="User guide" sheetId="16" r:id="rId2"/>
    <sheet name="Scope of implementation" sheetId="17" r:id="rId3"/>
    <sheet name="Development costs" sheetId="36" r:id="rId4"/>
    <sheet name="Deployment costs" sheetId="33" r:id="rId5"/>
    <sheet name="Operations costs" sheetId="34" r:id="rId6"/>
    <sheet name="Cybersecurity costs" sheetId="43" r:id="rId7"/>
    <sheet name="Cost summary" sheetId="18" r:id="rId8"/>
    <sheet name="Benchmarking" sheetId="19" r:id="rId9"/>
    <sheet name="Budget commitments and gaps" sheetId="27" r:id="rId10"/>
    <sheet name="Calculator" sheetId="44" r:id="rId11"/>
    <sheet name="Cybersecurity_template" sheetId="45" state="hidden" r:id="rId12"/>
    <sheet name="Scaling inputs" sheetId="30" state="hidden" r:id="rId13"/>
    <sheet name="Value lists" sheetId="2" state="hidden" r:id="rId14"/>
    <sheet name="Sheet12" sheetId="21" state="hidden" r:id="rId15"/>
    <sheet name="Sheet13" sheetId="22" state="hidden" r:id="rId16"/>
    <sheet name="Sheet14" sheetId="23" state="hidden" r:id="rId17"/>
    <sheet name="Tool logic" sheetId="11" state="hidden" r:id="rId18"/>
    <sheet name="Notes - Operations Costs" sheetId="38" state="hidden" r:id="rId19"/>
    <sheet name="Notes - Scope of Implemntn." sheetId="35" state="hidden" r:id="rId20"/>
    <sheet name="Notes - Development Costs" sheetId="32" state="hidden" r:id="rId21"/>
    <sheet name="Notes - Deployment Costs" sheetId="39" state="hidden" r:id="rId22"/>
    <sheet name="Countries" sheetId="25" state="hidden" r:id="rId23"/>
    <sheet name="Salary input data " sheetId="28" state="hidden" r:id="rId24"/>
    <sheet name="Possible edits" sheetId="6" state="hidden" r:id="rId25"/>
    <sheet name="Suggested input data " sheetId="29" state="hidden" r:id="rId26"/>
    <sheet name="Labor tab Example " sheetId="31" state="hidden" r:id="rId27"/>
    <sheet name="LMIS TCO Summary" sheetId="9" state="hidden" r:id="rId28"/>
    <sheet name="LMIS TCO" sheetId="1" state="hidden" r:id="rId29"/>
    <sheet name="LMIS TCO_TZ Reference" sheetId="10" state="hidden" r:id="rId30"/>
    <sheet name="CommCare TCO" sheetId="3" state="hidden" r:id="rId31"/>
    <sheet name="CommCare TCO per year" sheetId="5" state="hidden" r:id="rId32"/>
    <sheet name="Approach and questions" sheetId="8" state="hidden" r:id="rId33"/>
    <sheet name="Cost category comparison" sheetId="7" state="hidden" r:id="rId34"/>
    <sheet name="Cost data triangulation" sheetId="15" state="hidden" r:id="rId35"/>
    <sheet name="Variance by % of TCO" sheetId="26" state="hidden" r:id="rId36"/>
  </sheets>
  <externalReferences>
    <externalReference r:id="rId37"/>
  </externalReferences>
  <definedNames>
    <definedName name="_xlnm._FilterDatabase" localSheetId="28" hidden="1">'LMIS TCO'!$A$4:$P$42</definedName>
    <definedName name="_xlchart.v1.0" hidden="1">'Variance by % of TCO'!$R$3:$R$9</definedName>
    <definedName name="_xlchart.v1.1" hidden="1">'Variance by % of TCO'!$S$2</definedName>
    <definedName name="_xlchart.v1.2" hidden="1">'Variance by % of TCO'!$S$3:$S$9</definedName>
    <definedName name="_xlchart.v1.3" hidden="1">'Variance by % of TCO'!$T$2</definedName>
    <definedName name="_xlchart.v1.4" hidden="1">'Variance by % of TCO'!$T$3:$T$9</definedName>
    <definedName name="_xlchart.v1.5" hidden="1">'Variance by % of TCO'!$U$2</definedName>
    <definedName name="_xlchart.v1.6" hidden="1">'Variance by % of TCO'!$U$3:$U$9</definedName>
    <definedName name="Hosting" localSheetId="9">Table4[Hosting list]</definedName>
    <definedName name="Hosting" localSheetId="6">Table4[Hosting list]</definedName>
    <definedName name="Hosting" localSheetId="11">Table4[Hosting list]</definedName>
    <definedName name="Hosting" localSheetId="3">Table4[Hosting list]</definedName>
    <definedName name="Hosting" localSheetId="0">[1]!Table4[Hosting list]</definedName>
    <definedName name="Hosting" localSheetId="21">Table4[Hosting list]</definedName>
    <definedName name="Hosting" localSheetId="18">Table4[Hosting list]</definedName>
    <definedName name="Hosting" localSheetId="19">Table4[Hosting list]</definedName>
    <definedName name="Hosting">Table4[Hosting list]</definedName>
    <definedName name="Selection" localSheetId="9">Table3[Hosting selected]</definedName>
    <definedName name="Selection" localSheetId="6">Table3[Hosting selected]</definedName>
    <definedName name="Selection" localSheetId="11">Table3[Hosting selected]</definedName>
    <definedName name="Selection" localSheetId="3">Table3[Hosting selected]</definedName>
    <definedName name="Selection" localSheetId="0">[1]!Table3[Hosting selected]</definedName>
    <definedName name="Selection" localSheetId="21">Table3[Hosting selected]</definedName>
    <definedName name="Selection" localSheetId="18">Table3[Hosting selected]</definedName>
    <definedName name="Selection" localSheetId="19">Table3[Hosting selected]</definedName>
    <definedName name="Selection">Table3[Hosting selected]</definedName>
    <definedName name="Shared" localSheetId="3">#REF!</definedName>
    <definedName name="Shared" localSheetId="21">#REF!</definedName>
    <definedName name="Shared" localSheetId="18">#REF!</definedName>
    <definedName name="Shared" localSheetId="19">#REF!</definedName>
    <definedName name="Share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1" i="43" l="1"/>
  <c r="E138" i="43"/>
  <c r="E13" i="43" l="1"/>
  <c r="E366" i="43"/>
  <c r="E357" i="43"/>
  <c r="E350" i="43"/>
  <c r="E341" i="43"/>
  <c r="E331" i="43"/>
  <c r="E324" i="43"/>
  <c r="E317" i="43"/>
  <c r="E310" i="43"/>
  <c r="E300" i="43"/>
  <c r="E296" i="43"/>
  <c r="E289" i="43"/>
  <c r="E285" i="43"/>
  <c r="E275" i="43"/>
  <c r="E269" i="43"/>
  <c r="E262" i="43"/>
  <c r="E256" i="43"/>
  <c r="E246" i="43"/>
  <c r="E240" i="43"/>
  <c r="E233" i="43"/>
  <c r="E227" i="43"/>
  <c r="E217" i="43"/>
  <c r="E210" i="43"/>
  <c r="E203" i="43"/>
  <c r="E196" i="43"/>
  <c r="E186" i="43"/>
  <c r="E179" i="43"/>
  <c r="E172" i="43"/>
  <c r="E165" i="43"/>
  <c r="E154" i="43"/>
  <c r="E145" i="43"/>
  <c r="E129" i="43"/>
  <c r="E119" i="43"/>
  <c r="E112" i="43"/>
  <c r="E105" i="43"/>
  <c r="E98" i="43"/>
  <c r="E88" i="43"/>
  <c r="E79" i="43"/>
  <c r="E72" i="43"/>
  <c r="E63" i="43"/>
  <c r="E53" i="43"/>
  <c r="E49" i="43"/>
  <c r="E42" i="43"/>
  <c r="E38" i="43"/>
  <c r="E28" i="43"/>
  <c r="E24" i="43"/>
  <c r="E17" i="43"/>
  <c r="E363" i="43"/>
  <c r="E347" i="43"/>
  <c r="E328" i="43"/>
  <c r="E314" i="43"/>
  <c r="E214" i="43"/>
  <c r="E200" i="43"/>
  <c r="E183" i="43"/>
  <c r="E169" i="43"/>
  <c r="E151" i="43"/>
  <c r="E135" i="43"/>
  <c r="E116" i="43"/>
  <c r="E102" i="43"/>
  <c r="E85" i="43"/>
  <c r="E69" i="43"/>
  <c r="E401" i="43"/>
  <c r="D400" i="43"/>
  <c r="D399" i="43"/>
  <c r="E397" i="43"/>
  <c r="D397" i="43"/>
  <c r="D396" i="43"/>
  <c r="D394" i="43"/>
  <c r="E393" i="43"/>
  <c r="E392" i="43"/>
  <c r="E390" i="43"/>
  <c r="D390" i="43"/>
  <c r="E385" i="43"/>
  <c r="D384" i="43"/>
  <c r="D383" i="43"/>
  <c r="E381" i="43"/>
  <c r="D381" i="43"/>
  <c r="D380" i="43"/>
  <c r="D378" i="43"/>
  <c r="E377" i="43"/>
  <c r="E376" i="43"/>
  <c r="E374" i="43"/>
  <c r="E360" i="43"/>
  <c r="E355" i="43"/>
  <c r="D355" i="43"/>
  <c r="E344" i="43"/>
  <c r="E339" i="43"/>
  <c r="E322" i="43"/>
  <c r="D322" i="43"/>
  <c r="E308" i="43"/>
  <c r="E294" i="43"/>
  <c r="D294" i="43"/>
  <c r="E283" i="43"/>
  <c r="E272" i="43"/>
  <c r="E267" i="43"/>
  <c r="D267" i="43"/>
  <c r="E259" i="43"/>
  <c r="E254" i="43"/>
  <c r="E243" i="43"/>
  <c r="E238" i="43"/>
  <c r="D238" i="43"/>
  <c r="E230" i="43"/>
  <c r="E225" i="43"/>
  <c r="E208" i="43"/>
  <c r="D208" i="43"/>
  <c r="E194" i="43"/>
  <c r="E177" i="43"/>
  <c r="D177" i="43"/>
  <c r="E163" i="43"/>
  <c r="E148" i="43"/>
  <c r="E143" i="43"/>
  <c r="D143" i="43"/>
  <c r="E132" i="43"/>
  <c r="E127" i="43"/>
  <c r="E110" i="43"/>
  <c r="D110" i="43"/>
  <c r="E96" i="43"/>
  <c r="E82" i="43"/>
  <c r="E77" i="43"/>
  <c r="D77" i="43"/>
  <c r="E66" i="43"/>
  <c r="E61" i="43"/>
  <c r="E47" i="43"/>
  <c r="D47" i="43"/>
  <c r="E36" i="43"/>
  <c r="E22" i="43"/>
  <c r="D22" i="43"/>
  <c r="E11" i="43"/>
  <c r="C65" i="18" l="1"/>
  <c r="D64" i="18"/>
  <c r="E64" i="18"/>
  <c r="F64" i="18"/>
  <c r="G64" i="18"/>
  <c r="C64" i="18"/>
  <c r="C49" i="18"/>
  <c r="F64" i="27" l="1"/>
  <c r="G64" i="27"/>
  <c r="H64" i="27"/>
  <c r="I64" i="27"/>
  <c r="E64" i="27"/>
  <c r="B63" i="27"/>
  <c r="B62" i="27"/>
  <c r="B61" i="27"/>
  <c r="B60" i="27"/>
  <c r="B59" i="27"/>
  <c r="B58" i="27"/>
  <c r="B57" i="27"/>
  <c r="B56" i="27"/>
  <c r="B55" i="27"/>
  <c r="B54" i="27"/>
  <c r="B53" i="27"/>
  <c r="B52" i="27"/>
  <c r="B51" i="27"/>
  <c r="B49" i="27"/>
  <c r="B48" i="27"/>
  <c r="B47" i="27"/>
  <c r="B46" i="27"/>
  <c r="B45" i="27"/>
  <c r="B44" i="27"/>
  <c r="B43" i="27"/>
  <c r="B42" i="27"/>
  <c r="B41" i="27"/>
  <c r="B40" i="27"/>
  <c r="B39" i="27"/>
  <c r="B38" i="27"/>
  <c r="B37" i="27"/>
  <c r="D67" i="18"/>
  <c r="E67" i="18"/>
  <c r="F67" i="18"/>
  <c r="G67" i="18"/>
  <c r="C67" i="18"/>
  <c r="C52" i="18"/>
  <c r="H52" i="18" s="1"/>
  <c r="C49" i="27" s="1"/>
  <c r="D66" i="18"/>
  <c r="E66" i="18"/>
  <c r="F66" i="18"/>
  <c r="G66" i="18"/>
  <c r="C66" i="18"/>
  <c r="C51" i="18"/>
  <c r="H51" i="18" s="1"/>
  <c r="C48" i="27" s="1"/>
  <c r="D65" i="18"/>
  <c r="E65" i="18"/>
  <c r="F65" i="18"/>
  <c r="G65" i="18"/>
  <c r="C50" i="18"/>
  <c r="H50" i="18" s="1"/>
  <c r="C47" i="27" s="1"/>
  <c r="K47" i="27" s="1"/>
  <c r="H49" i="18"/>
  <c r="C46" i="27" s="1"/>
  <c r="D63" i="18"/>
  <c r="E63" i="18"/>
  <c r="F63" i="18"/>
  <c r="G63" i="18"/>
  <c r="C63" i="18"/>
  <c r="C48" i="18"/>
  <c r="H48" i="18" s="1"/>
  <c r="C45" i="27" s="1"/>
  <c r="K45" i="27" s="1"/>
  <c r="D62" i="18"/>
  <c r="E62" i="18"/>
  <c r="F62" i="18"/>
  <c r="G62" i="18"/>
  <c r="C62" i="18"/>
  <c r="C47" i="18"/>
  <c r="H47" i="18" s="1"/>
  <c r="C44" i="27" s="1"/>
  <c r="D61" i="18"/>
  <c r="E61" i="18"/>
  <c r="F61" i="18"/>
  <c r="G61" i="18"/>
  <c r="C61" i="18"/>
  <c r="C46" i="18"/>
  <c r="H46" i="18" s="1"/>
  <c r="C43" i="27" s="1"/>
  <c r="L43" i="27" s="1"/>
  <c r="D60" i="18"/>
  <c r="E60" i="18"/>
  <c r="F60" i="18"/>
  <c r="G60" i="18"/>
  <c r="C60" i="18"/>
  <c r="C45" i="18"/>
  <c r="H45" i="18" s="1"/>
  <c r="C42" i="27" s="1"/>
  <c r="D59" i="18"/>
  <c r="E59" i="18"/>
  <c r="F59" i="18"/>
  <c r="G59" i="18"/>
  <c r="C59" i="18"/>
  <c r="C44" i="18"/>
  <c r="H44" i="18" s="1"/>
  <c r="C41" i="27" s="1"/>
  <c r="K41" i="27" s="1"/>
  <c r="D58" i="18"/>
  <c r="E58" i="18"/>
  <c r="F58" i="18"/>
  <c r="G58" i="18"/>
  <c r="C58" i="18"/>
  <c r="C43" i="18"/>
  <c r="H43" i="18" s="1"/>
  <c r="C40" i="27" s="1"/>
  <c r="D57" i="18"/>
  <c r="E57" i="18"/>
  <c r="F57" i="18"/>
  <c r="G57" i="18"/>
  <c r="C57" i="18"/>
  <c r="C42" i="18"/>
  <c r="H42" i="18" s="1"/>
  <c r="C39" i="27" s="1"/>
  <c r="D56" i="18"/>
  <c r="E56" i="18"/>
  <c r="F56" i="18"/>
  <c r="G56" i="18"/>
  <c r="C56" i="18"/>
  <c r="C41" i="18"/>
  <c r="H41" i="18" s="1"/>
  <c r="C38" i="27" s="1"/>
  <c r="G55" i="18"/>
  <c r="F55" i="18"/>
  <c r="E55" i="18"/>
  <c r="D55" i="18"/>
  <c r="C55" i="18"/>
  <c r="C40" i="18"/>
  <c r="H40" i="18" s="1"/>
  <c r="C37" i="27" s="1"/>
  <c r="B67" i="18"/>
  <c r="B66" i="18"/>
  <c r="B65" i="18"/>
  <c r="B64" i="18"/>
  <c r="B63" i="18"/>
  <c r="B62" i="18"/>
  <c r="B61" i="18"/>
  <c r="B60" i="18"/>
  <c r="B59" i="18"/>
  <c r="B58" i="18"/>
  <c r="B57" i="18"/>
  <c r="B56" i="18"/>
  <c r="B55" i="18"/>
  <c r="B52" i="18"/>
  <c r="B51" i="18"/>
  <c r="B50" i="18"/>
  <c r="B49" i="18"/>
  <c r="B48" i="18"/>
  <c r="B47" i="18"/>
  <c r="B46" i="18"/>
  <c r="B45" i="18"/>
  <c r="B44" i="18"/>
  <c r="B43" i="18"/>
  <c r="B42" i="18"/>
  <c r="B41" i="18"/>
  <c r="B40" i="18"/>
  <c r="C54" i="44"/>
  <c r="C36" i="44"/>
  <c r="E38" i="45"/>
  <c r="E35" i="45"/>
  <c r="E32" i="45"/>
  <c r="B30" i="45"/>
  <c r="E29" i="45"/>
  <c r="B29" i="45"/>
  <c r="E27" i="45"/>
  <c r="D27" i="45"/>
  <c r="B27" i="45"/>
  <c r="E22" i="45"/>
  <c r="E19" i="45"/>
  <c r="E16" i="45"/>
  <c r="B14" i="45"/>
  <c r="E13" i="45"/>
  <c r="B13" i="45"/>
  <c r="E11" i="45"/>
  <c r="B11" i="45"/>
  <c r="E9" i="45"/>
  <c r="B9" i="45"/>
  <c r="E8" i="45"/>
  <c r="B8" i="45"/>
  <c r="B390" i="43"/>
  <c r="B374" i="43"/>
  <c r="B358" i="43"/>
  <c r="B357" i="43"/>
  <c r="B355" i="43"/>
  <c r="B342" i="43"/>
  <c r="B341" i="43"/>
  <c r="B339" i="43"/>
  <c r="B325" i="43"/>
  <c r="B324" i="43"/>
  <c r="B322" i="43"/>
  <c r="B311" i="43"/>
  <c r="B310" i="43"/>
  <c r="B308" i="43"/>
  <c r="B297" i="43"/>
  <c r="B296" i="43"/>
  <c r="B294" i="43"/>
  <c r="B286" i="43"/>
  <c r="B285" i="43"/>
  <c r="B283" i="43"/>
  <c r="B270" i="43"/>
  <c r="B269" i="43"/>
  <c r="B267" i="43"/>
  <c r="B257" i="43"/>
  <c r="B256" i="43"/>
  <c r="B254" i="43"/>
  <c r="B241" i="43"/>
  <c r="B240" i="43"/>
  <c r="B238" i="43"/>
  <c r="B228" i="43"/>
  <c r="B227" i="43"/>
  <c r="B225" i="43"/>
  <c r="B211" i="43"/>
  <c r="B210" i="43"/>
  <c r="B208" i="43"/>
  <c r="B197" i="43"/>
  <c r="B196" i="43"/>
  <c r="B194" i="43"/>
  <c r="B180" i="43"/>
  <c r="B179" i="43"/>
  <c r="B177" i="43"/>
  <c r="B166" i="43"/>
  <c r="B165" i="43"/>
  <c r="B163" i="43"/>
  <c r="B146" i="43"/>
  <c r="B145" i="43"/>
  <c r="B143" i="43"/>
  <c r="B130" i="43"/>
  <c r="B129" i="43"/>
  <c r="B127" i="43"/>
  <c r="B113" i="43"/>
  <c r="B112" i="43"/>
  <c r="B110" i="43"/>
  <c r="B99" i="43"/>
  <c r="B98" i="43"/>
  <c r="B96" i="43"/>
  <c r="B80" i="43"/>
  <c r="B79" i="43"/>
  <c r="B77" i="43"/>
  <c r="B64" i="43"/>
  <c r="B63" i="43"/>
  <c r="B61" i="43"/>
  <c r="B50" i="43"/>
  <c r="B49" i="43"/>
  <c r="B47" i="43"/>
  <c r="B39" i="43"/>
  <c r="B38" i="43"/>
  <c r="B36" i="43"/>
  <c r="B25" i="43"/>
  <c r="B24" i="43"/>
  <c r="B22" i="43"/>
  <c r="B14" i="43"/>
  <c r="B13" i="43"/>
  <c r="B11" i="43"/>
  <c r="C18" i="44"/>
  <c r="E5" i="44"/>
  <c r="E6" i="44"/>
  <c r="E7" i="44"/>
  <c r="E8" i="44"/>
  <c r="E9" i="44"/>
  <c r="E10" i="44"/>
  <c r="E11" i="44"/>
  <c r="E12" i="44"/>
  <c r="E13" i="44"/>
  <c r="E4" i="44"/>
  <c r="L41" i="27" l="1"/>
  <c r="L45" i="27"/>
  <c r="K46" i="27"/>
  <c r="L46" i="27"/>
  <c r="K44" i="27"/>
  <c r="L44" i="27"/>
  <c r="L42" i="27"/>
  <c r="K42" i="27"/>
  <c r="K49" i="27"/>
  <c r="L49" i="27"/>
  <c r="K38" i="27"/>
  <c r="L38" i="27"/>
  <c r="K40" i="27"/>
  <c r="L40" i="27"/>
  <c r="L48" i="27"/>
  <c r="K48" i="27"/>
  <c r="L39" i="27"/>
  <c r="K39" i="27"/>
  <c r="L47" i="27"/>
  <c r="H66" i="18"/>
  <c r="C62" i="27" s="1"/>
  <c r="K43" i="27"/>
  <c r="L37" i="27"/>
  <c r="K37" i="27"/>
  <c r="H67" i="18"/>
  <c r="C63" i="27" s="1"/>
  <c r="H60" i="18"/>
  <c r="C56" i="27" s="1"/>
  <c r="H56" i="18"/>
  <c r="C52" i="27" s="1"/>
  <c r="H58" i="18"/>
  <c r="C54" i="27" s="1"/>
  <c r="H62" i="18"/>
  <c r="C58" i="27" s="1"/>
  <c r="H64" i="18"/>
  <c r="C60" i="27" s="1"/>
  <c r="H55" i="18"/>
  <c r="C51" i="27" s="1"/>
  <c r="H57" i="18"/>
  <c r="C53" i="27" s="1"/>
  <c r="H59" i="18"/>
  <c r="C55" i="27" s="1"/>
  <c r="H61" i="18"/>
  <c r="C57" i="27" s="1"/>
  <c r="H63" i="18"/>
  <c r="C59" i="27" s="1"/>
  <c r="H65" i="18"/>
  <c r="C61" i="27" s="1"/>
  <c r="C16" i="44"/>
  <c r="G17" i="18"/>
  <c r="F17" i="18"/>
  <c r="E17" i="18"/>
  <c r="D17" i="18"/>
  <c r="C17" i="18"/>
  <c r="C55" i="34"/>
  <c r="C54" i="34"/>
  <c r="C53" i="34"/>
  <c r="C52" i="34"/>
  <c r="C51" i="34"/>
  <c r="C26" i="34"/>
  <c r="C25" i="34"/>
  <c r="C24" i="34"/>
  <c r="C23" i="34"/>
  <c r="C22" i="34"/>
  <c r="G16" i="18"/>
  <c r="F16" i="18"/>
  <c r="E16" i="18"/>
  <c r="D16" i="18"/>
  <c r="C16" i="18"/>
  <c r="C48" i="34"/>
  <c r="C47" i="34"/>
  <c r="C46" i="34"/>
  <c r="C45" i="34"/>
  <c r="C44" i="34"/>
  <c r="C19" i="34"/>
  <c r="C18" i="34"/>
  <c r="C17" i="34"/>
  <c r="C16" i="34"/>
  <c r="C15" i="34"/>
  <c r="G68" i="18"/>
  <c r="F68" i="18"/>
  <c r="E68" i="18"/>
  <c r="D68" i="18"/>
  <c r="C68" i="18"/>
  <c r="D53" i="18"/>
  <c r="E53" i="18"/>
  <c r="F53" i="18"/>
  <c r="G53" i="18"/>
  <c r="H53" i="18"/>
  <c r="C53" i="18"/>
  <c r="L52" i="27" l="1"/>
  <c r="K52" i="27"/>
  <c r="L61" i="27"/>
  <c r="K61" i="27"/>
  <c r="K63" i="27"/>
  <c r="L63" i="27"/>
  <c r="K53" i="27"/>
  <c r="L53" i="27"/>
  <c r="L56" i="27"/>
  <c r="K56" i="27"/>
  <c r="K57" i="27"/>
  <c r="L57" i="27"/>
  <c r="L60" i="27"/>
  <c r="K60" i="27"/>
  <c r="L58" i="27"/>
  <c r="K58" i="27"/>
  <c r="L59" i="27"/>
  <c r="K59" i="27"/>
  <c r="L62" i="27"/>
  <c r="K62" i="27"/>
  <c r="L54" i="27"/>
  <c r="K54" i="27"/>
  <c r="L55" i="27"/>
  <c r="K55" i="27"/>
  <c r="L51" i="27"/>
  <c r="K51" i="27"/>
  <c r="H68" i="18"/>
  <c r="B8" i="36"/>
  <c r="B51" i="33" l="1"/>
  <c r="B9" i="33"/>
  <c r="D132" i="34" l="1"/>
  <c r="B139" i="34" l="1"/>
  <c r="B143" i="34"/>
  <c r="B142" i="34"/>
  <c r="B141" i="34"/>
  <c r="B140" i="34"/>
  <c r="C196" i="34" l="1"/>
  <c r="E139" i="34" l="1"/>
  <c r="E142" i="33"/>
  <c r="E138" i="33"/>
  <c r="E143" i="34"/>
  <c r="D142" i="34"/>
  <c r="D141" i="34"/>
  <c r="D130" i="33"/>
  <c r="C85" i="34"/>
  <c r="C84" i="34"/>
  <c r="C83" i="34"/>
  <c r="C82" i="34"/>
  <c r="C81" i="34"/>
  <c r="C40" i="34"/>
  <c r="C39" i="34"/>
  <c r="C38" i="34"/>
  <c r="C37" i="34"/>
  <c r="C36" i="34"/>
  <c r="C33" i="34"/>
  <c r="C32" i="34"/>
  <c r="C31" i="34"/>
  <c r="C30" i="34"/>
  <c r="C29" i="34"/>
  <c r="B17" i="17"/>
  <c r="C218" i="34"/>
  <c r="C14" i="34" l="1"/>
  <c r="C80" i="34"/>
  <c r="C28" i="34"/>
  <c r="C35" i="34"/>
  <c r="C21" i="34"/>
  <c r="C148" i="34" l="1"/>
  <c r="C156" i="34" l="1"/>
  <c r="C180" i="34"/>
  <c r="C172" i="34"/>
  <c r="C164" i="34"/>
  <c r="C179" i="34"/>
  <c r="C182" i="34" s="1"/>
  <c r="C171" i="34"/>
  <c r="C174" i="34" s="1"/>
  <c r="C163" i="34"/>
  <c r="C166" i="34" s="1"/>
  <c r="C155" i="34"/>
  <c r="C147" i="34"/>
  <c r="C149" i="34" s="1"/>
  <c r="C158" i="34" l="1"/>
  <c r="C157" i="34"/>
  <c r="C165" i="34"/>
  <c r="C167" i="34" s="1"/>
  <c r="C168" i="34" s="1"/>
  <c r="C150" i="34"/>
  <c r="C173" i="34"/>
  <c r="C175" i="34" s="1"/>
  <c r="C176" i="34" s="1"/>
  <c r="C181" i="34"/>
  <c r="C183" i="34" s="1"/>
  <c r="C184" i="34" s="1"/>
  <c r="C151" i="34" l="1"/>
  <c r="C152" i="34" s="1"/>
  <c r="C159" i="34"/>
  <c r="C160" i="34" s="1"/>
  <c r="C180" i="33"/>
  <c r="C172" i="33"/>
  <c r="C164" i="33"/>
  <c r="C156" i="33"/>
  <c r="C179" i="33"/>
  <c r="C171" i="33"/>
  <c r="C163" i="33"/>
  <c r="C155" i="33"/>
  <c r="C158" i="33" s="1"/>
  <c r="C148" i="33"/>
  <c r="C147" i="33"/>
  <c r="C150" i="33" s="1"/>
  <c r="B12" i="17"/>
  <c r="D12" i="34"/>
  <c r="D11" i="34"/>
  <c r="D10" i="34"/>
  <c r="D9" i="34"/>
  <c r="D8" i="34"/>
  <c r="C181" i="33" l="1"/>
  <c r="C182" i="33"/>
  <c r="C165" i="33"/>
  <c r="C166" i="33"/>
  <c r="C173" i="33"/>
  <c r="C174" i="33"/>
  <c r="C157" i="33"/>
  <c r="C159" i="33" s="1"/>
  <c r="C160" i="33" s="1"/>
  <c r="C149" i="33"/>
  <c r="C151" i="33" s="1"/>
  <c r="C152" i="33" s="1"/>
  <c r="C167" i="33" l="1"/>
  <c r="C168" i="33" s="1"/>
  <c r="C175" i="33"/>
  <c r="C176" i="33" s="1"/>
  <c r="C183" i="33"/>
  <c r="C184" i="33" s="1"/>
  <c r="C19" i="18"/>
  <c r="D19" i="18"/>
  <c r="C12" i="36"/>
  <c r="E12" i="17"/>
  <c r="C197" i="34"/>
  <c r="C198" i="34"/>
  <c r="C199" i="34"/>
  <c r="C200" i="34"/>
  <c r="C222" i="34"/>
  <c r="C221" i="34"/>
  <c r="C220" i="34"/>
  <c r="C219" i="34"/>
  <c r="D141" i="33"/>
  <c r="D140" i="33"/>
  <c r="C99" i="34"/>
  <c r="C98" i="34"/>
  <c r="C97" i="34"/>
  <c r="C96" i="34"/>
  <c r="C95" i="34"/>
  <c r="C92" i="34"/>
  <c r="C91" i="34"/>
  <c r="C90" i="34"/>
  <c r="C89" i="34"/>
  <c r="C88" i="34"/>
  <c r="C76" i="34"/>
  <c r="C75" i="34"/>
  <c r="C74" i="34"/>
  <c r="C73" i="34"/>
  <c r="C72" i="34"/>
  <c r="C69" i="34"/>
  <c r="C68" i="34"/>
  <c r="C67" i="34"/>
  <c r="C66" i="34"/>
  <c r="C65" i="34"/>
  <c r="C62" i="34"/>
  <c r="C61" i="34"/>
  <c r="C60" i="34"/>
  <c r="C59" i="34"/>
  <c r="C58" i="34"/>
  <c r="B22" i="17"/>
  <c r="B21" i="17"/>
  <c r="B20" i="17"/>
  <c r="B19" i="17"/>
  <c r="B18" i="17"/>
  <c r="C23" i="17"/>
  <c r="D27" i="18" l="1"/>
  <c r="E27" i="18"/>
  <c r="G27" i="18"/>
  <c r="F27" i="18"/>
  <c r="C27" i="18"/>
  <c r="D22" i="18"/>
  <c r="E22" i="18"/>
  <c r="C22" i="18"/>
  <c r="G22" i="18"/>
  <c r="F22" i="18"/>
  <c r="C23" i="18"/>
  <c r="D23" i="18"/>
  <c r="G14" i="18"/>
  <c r="F14" i="18"/>
  <c r="E14" i="18"/>
  <c r="D14" i="18"/>
  <c r="C14" i="18"/>
  <c r="F19" i="18" l="1"/>
  <c r="E19" i="18"/>
  <c r="G19" i="18"/>
  <c r="F23" i="18"/>
  <c r="G23" i="18"/>
  <c r="E23" i="18"/>
  <c r="G25" i="18"/>
  <c r="F25" i="18"/>
  <c r="E25" i="18"/>
  <c r="D25" i="18"/>
  <c r="C25" i="18"/>
  <c r="G24" i="18"/>
  <c r="F24" i="18"/>
  <c r="E24" i="18"/>
  <c r="D24" i="18"/>
  <c r="C24" i="18"/>
  <c r="D131" i="33" l="1"/>
  <c r="D132" i="33"/>
  <c r="D133" i="33"/>
  <c r="D134" i="33"/>
  <c r="D133" i="34"/>
  <c r="D134" i="34"/>
  <c r="D135" i="34"/>
  <c r="D131" i="34"/>
  <c r="D114" i="34"/>
  <c r="D115" i="34"/>
  <c r="D116" i="34"/>
  <c r="D117" i="34"/>
  <c r="D113" i="34"/>
  <c r="D105" i="34"/>
  <c r="D106" i="34"/>
  <c r="D107" i="34"/>
  <c r="D108" i="34"/>
  <c r="D104" i="34"/>
  <c r="G35" i="18"/>
  <c r="F35" i="18"/>
  <c r="E35" i="18"/>
  <c r="D35" i="18"/>
  <c r="C35" i="18"/>
  <c r="G34" i="18"/>
  <c r="F34" i="18"/>
  <c r="E34" i="18"/>
  <c r="D34" i="18"/>
  <c r="C34" i="18"/>
  <c r="G33" i="18"/>
  <c r="F33" i="18"/>
  <c r="E33" i="18"/>
  <c r="D33" i="18"/>
  <c r="C33" i="18"/>
  <c r="G32" i="18"/>
  <c r="F32" i="18"/>
  <c r="E32" i="18"/>
  <c r="D32" i="18"/>
  <c r="C32" i="18"/>
  <c r="G31" i="18"/>
  <c r="F31" i="18"/>
  <c r="E31" i="18"/>
  <c r="D31" i="18"/>
  <c r="C31" i="18"/>
  <c r="G30" i="18"/>
  <c r="F30" i="18"/>
  <c r="E30" i="18"/>
  <c r="D30" i="18"/>
  <c r="C30" i="18"/>
  <c r="G29" i="18"/>
  <c r="F29" i="18"/>
  <c r="E29" i="18"/>
  <c r="D29" i="18"/>
  <c r="C29" i="18"/>
  <c r="C28" i="18"/>
  <c r="G28" i="18"/>
  <c r="F28" i="18"/>
  <c r="E28" i="18"/>
  <c r="D28" i="18"/>
  <c r="G18" i="18"/>
  <c r="F18" i="18"/>
  <c r="E18" i="18"/>
  <c r="D18" i="18"/>
  <c r="C18" i="18"/>
  <c r="G15" i="18"/>
  <c r="F15" i="18"/>
  <c r="E15" i="18"/>
  <c r="D15" i="18"/>
  <c r="C15" i="18"/>
  <c r="G13" i="18"/>
  <c r="F13" i="18"/>
  <c r="E13" i="18"/>
  <c r="D13" i="18"/>
  <c r="C13" i="18"/>
  <c r="C8" i="18" l="1"/>
  <c r="B16" i="17" l="1"/>
  <c r="D139" i="34" l="1"/>
  <c r="H25" i="18" l="1"/>
  <c r="E26" i="19" s="1"/>
  <c r="D11" i="18"/>
  <c r="B4" i="18" l="1"/>
  <c r="C83" i="39"/>
  <c r="B79" i="39"/>
  <c r="B84" i="39" s="1"/>
  <c r="B70" i="39"/>
  <c r="B65" i="39"/>
  <c r="B60" i="39"/>
  <c r="B53" i="39"/>
  <c r="B45" i="39"/>
  <c r="C44" i="39"/>
  <c r="B41" i="39"/>
  <c r="B37" i="39"/>
  <c r="A34" i="39"/>
  <c r="B27" i="39"/>
  <c r="C26" i="39"/>
  <c r="B23" i="39"/>
  <c r="C22" i="39"/>
  <c r="B19" i="39"/>
  <c r="C18" i="39"/>
  <c r="B15" i="39"/>
  <c r="C14" i="39"/>
  <c r="A12" i="39"/>
  <c r="B79" i="38"/>
  <c r="B74" i="38"/>
  <c r="B69" i="38"/>
  <c r="B61" i="38"/>
  <c r="B53" i="38"/>
  <c r="B48" i="38"/>
  <c r="B41" i="38"/>
  <c r="B37" i="38"/>
  <c r="C31" i="38"/>
  <c r="B17" i="38"/>
  <c r="B19" i="38" s="1"/>
  <c r="B9" i="38"/>
  <c r="B14" i="38" s="1"/>
  <c r="C28" i="36"/>
  <c r="C21" i="36"/>
  <c r="A24" i="35"/>
  <c r="A22" i="35"/>
  <c r="D18" i="35"/>
  <c r="A18" i="35"/>
  <c r="C10" i="18" l="1"/>
  <c r="C9" i="18"/>
  <c r="A9" i="32"/>
  <c r="G11" i="18" l="1"/>
  <c r="F11" i="18"/>
  <c r="E11" i="18"/>
  <c r="B18" i="38" l="1"/>
  <c r="B13" i="38"/>
  <c r="B12" i="38"/>
  <c r="B11" i="38"/>
  <c r="B31" i="32"/>
  <c r="H10" i="18" s="1"/>
  <c r="E11" i="19" s="1"/>
  <c r="B23" i="32"/>
  <c r="H9" i="18" s="1"/>
  <c r="E10" i="19" s="1"/>
  <c r="B13" i="32"/>
  <c r="B10" i="38" l="1"/>
  <c r="H8" i="18"/>
  <c r="H11" i="18" l="1"/>
  <c r="E9" i="19"/>
  <c r="E12" i="19" s="1"/>
  <c r="H27" i="18"/>
  <c r="E28" i="19" s="1"/>
  <c r="C20" i="18"/>
  <c r="C3" i="31"/>
  <c r="O20" i="31" l="1"/>
  <c r="N11" i="31"/>
  <c r="N15" i="31"/>
  <c r="O11" i="31"/>
  <c r="O15" i="31"/>
  <c r="N12" i="31"/>
  <c r="N16" i="31"/>
  <c r="O12" i="31"/>
  <c r="O16" i="31"/>
  <c r="N13" i="31"/>
  <c r="N17" i="31"/>
  <c r="N18" i="31"/>
  <c r="N19" i="31"/>
  <c r="O19" i="31"/>
  <c r="N20" i="31"/>
  <c r="O13" i="31"/>
  <c r="O17" i="31"/>
  <c r="N10" i="31"/>
  <c r="N14" i="31"/>
  <c r="O10" i="31"/>
  <c r="O14" i="31"/>
  <c r="O18" i="31"/>
  <c r="A2" i="30"/>
  <c r="A11" i="30" l="1"/>
  <c r="A10" i="30"/>
  <c r="A9" i="30"/>
  <c r="A8" i="30"/>
  <c r="A7" i="30"/>
  <c r="A6" i="30"/>
  <c r="A5" i="30"/>
  <c r="A4" i="30"/>
  <c r="A3" i="30"/>
  <c r="H18" i="18" l="1"/>
  <c r="E19" i="19" s="1"/>
  <c r="H28" i="18"/>
  <c r="E29" i="19" s="1"/>
  <c r="B2" i="28"/>
  <c r="C8" i="28" l="1"/>
  <c r="D29" i="28"/>
  <c r="E29" i="28" s="1"/>
  <c r="D28" i="28"/>
  <c r="E28" i="28" s="1"/>
  <c r="D27" i="28"/>
  <c r="E27" i="28" s="1"/>
  <c r="D24" i="28"/>
  <c r="E24" i="28" s="1"/>
  <c r="D25" i="28"/>
  <c r="E25" i="28" s="1"/>
  <c r="D23" i="28"/>
  <c r="E23" i="28" s="1"/>
  <c r="D8" i="28"/>
  <c r="D30" i="28"/>
  <c r="E30" i="28" s="1"/>
  <c r="D9" i="28"/>
  <c r="C9" i="28"/>
  <c r="C10" i="28"/>
  <c r="D18" i="28"/>
  <c r="D17" i="28"/>
  <c r="D16" i="28"/>
  <c r="D15" i="28"/>
  <c r="D14" i="28"/>
  <c r="C17" i="28"/>
  <c r="C13" i="28"/>
  <c r="C16" i="28"/>
  <c r="C12" i="28"/>
  <c r="C15" i="28"/>
  <c r="C11" i="28"/>
  <c r="D10" i="28"/>
  <c r="C14" i="28"/>
  <c r="D13" i="28"/>
  <c r="D12" i="28"/>
  <c r="D11" i="28"/>
  <c r="C18" i="28"/>
  <c r="B4" i="27" l="1"/>
  <c r="B5" i="19"/>
  <c r="F10" i="19" l="1"/>
  <c r="G10" i="19" s="1"/>
  <c r="F11" i="19"/>
  <c r="G11" i="19" s="1"/>
  <c r="F9" i="19"/>
  <c r="G9" i="19" s="1"/>
  <c r="C47" i="19"/>
  <c r="F35" i="27"/>
  <c r="G35" i="27"/>
  <c r="H35" i="27"/>
  <c r="I35" i="27"/>
  <c r="E35" i="27"/>
  <c r="F34" i="27"/>
  <c r="G34" i="27"/>
  <c r="H34" i="27"/>
  <c r="I34" i="27"/>
  <c r="E34" i="27"/>
  <c r="L11" i="27"/>
  <c r="L19" i="27"/>
  <c r="K11" i="27"/>
  <c r="K19" i="27"/>
  <c r="K9" i="26" l="1"/>
  <c r="F9" i="26" s="1"/>
  <c r="I8" i="26"/>
  <c r="J8" i="26" s="1"/>
  <c r="H8" i="26"/>
  <c r="F8" i="26"/>
  <c r="G7" i="26"/>
  <c r="E7" i="26"/>
  <c r="F7" i="26" s="1"/>
  <c r="J6" i="26"/>
  <c r="H6" i="26"/>
  <c r="F6" i="26"/>
  <c r="J5" i="26"/>
  <c r="H5" i="26"/>
  <c r="F5" i="26"/>
  <c r="J4" i="26"/>
  <c r="G4" i="26"/>
  <c r="H4" i="26" s="1"/>
  <c r="F4" i="26"/>
  <c r="J3" i="26"/>
  <c r="H3" i="26"/>
  <c r="F3" i="26"/>
  <c r="C17" i="27" l="1"/>
  <c r="L17" i="27" s="1"/>
  <c r="I7" i="26"/>
  <c r="J7" i="26" s="1"/>
  <c r="H7" i="26"/>
  <c r="H9" i="26"/>
  <c r="J9" i="26"/>
  <c r="H24" i="18" l="1"/>
  <c r="K17" i="27"/>
  <c r="H15" i="18"/>
  <c r="H14" i="18"/>
  <c r="H30" i="18"/>
  <c r="C26" i="27"/>
  <c r="C25" i="27"/>
  <c r="H31" i="18"/>
  <c r="C23" i="27"/>
  <c r="H29" i="18"/>
  <c r="E30" i="19" s="1"/>
  <c r="H33" i="18"/>
  <c r="C11" i="18"/>
  <c r="C37" i="18" s="1"/>
  <c r="H35" i="18"/>
  <c r="H34" i="18"/>
  <c r="H32" i="18"/>
  <c r="C33" i="27" l="1"/>
  <c r="L33" i="27" s="1"/>
  <c r="E36" i="19"/>
  <c r="C32" i="27"/>
  <c r="K32" i="27" s="1"/>
  <c r="E35" i="19"/>
  <c r="C29" i="27"/>
  <c r="L29" i="27" s="1"/>
  <c r="E32" i="19"/>
  <c r="C14" i="27"/>
  <c r="L14" i="27" s="1"/>
  <c r="E16" i="19"/>
  <c r="C28" i="27"/>
  <c r="L28" i="27" s="1"/>
  <c r="E31" i="19"/>
  <c r="C30" i="27"/>
  <c r="L30" i="27" s="1"/>
  <c r="E33" i="19"/>
  <c r="C31" i="27"/>
  <c r="L31" i="27" s="1"/>
  <c r="E34" i="19"/>
  <c r="C13" i="27"/>
  <c r="K13" i="27" s="1"/>
  <c r="E15" i="19"/>
  <c r="C22" i="27"/>
  <c r="L22" i="27" s="1"/>
  <c r="E25" i="19"/>
  <c r="H23" i="18"/>
  <c r="E24" i="19" s="1"/>
  <c r="C27" i="27"/>
  <c r="K27" i="27" s="1"/>
  <c r="K25" i="27"/>
  <c r="L25" i="27"/>
  <c r="K23" i="27"/>
  <c r="L23" i="27"/>
  <c r="K26" i="27"/>
  <c r="L26" i="27"/>
  <c r="K33" i="27" l="1"/>
  <c r="K31" i="27"/>
  <c r="K28" i="27"/>
  <c r="K22" i="27"/>
  <c r="K29" i="27"/>
  <c r="L13" i="27"/>
  <c r="K30" i="27"/>
  <c r="L32" i="27"/>
  <c r="K14" i="27"/>
  <c r="L27" i="27"/>
  <c r="H19" i="18"/>
  <c r="E20" i="19" s="1"/>
  <c r="H22" i="18" l="1"/>
  <c r="C18" i="27"/>
  <c r="L18" i="27" s="1"/>
  <c r="H17" i="18"/>
  <c r="H16" i="18"/>
  <c r="C15" i="27" l="1"/>
  <c r="L15" i="27" s="1"/>
  <c r="E17" i="19"/>
  <c r="C16" i="27"/>
  <c r="L16" i="27" s="1"/>
  <c r="E18" i="19"/>
  <c r="E23" i="19"/>
  <c r="K18" i="27"/>
  <c r="C21" i="27"/>
  <c r="L21" i="27" s="1"/>
  <c r="C10" i="27"/>
  <c r="C9" i="27"/>
  <c r="K15" i="27" l="1"/>
  <c r="K16" i="27"/>
  <c r="K21" i="27"/>
  <c r="K10" i="27"/>
  <c r="L10" i="27"/>
  <c r="L9" i="27"/>
  <c r="K9" i="27"/>
  <c r="C8" i="27"/>
  <c r="K8" i="27" s="1"/>
  <c r="L8" i="27" l="1"/>
  <c r="F79" i="15" l="1"/>
  <c r="H80" i="15"/>
  <c r="D78" i="15"/>
  <c r="F75" i="15"/>
  <c r="H76" i="15"/>
  <c r="D74" i="15"/>
  <c r="H72" i="15"/>
  <c r="F71" i="15"/>
  <c r="D70" i="15"/>
  <c r="F67" i="15"/>
  <c r="H68" i="15"/>
  <c r="D66" i="15"/>
  <c r="D62" i="15"/>
  <c r="F63" i="15"/>
  <c r="F59" i="15"/>
  <c r="D58" i="15"/>
  <c r="F55" i="15"/>
  <c r="D54" i="15"/>
  <c r="F51" i="15"/>
  <c r="H52" i="15"/>
  <c r="F47" i="15"/>
  <c r="H48" i="15"/>
  <c r="F35" i="15"/>
  <c r="D34" i="15"/>
  <c r="D42" i="15"/>
  <c r="F43" i="15"/>
  <c r="F39" i="15"/>
  <c r="J73" i="15" l="1"/>
  <c r="E74" i="15" s="1"/>
  <c r="J33" i="15"/>
  <c r="I36" i="15" s="1"/>
  <c r="J57" i="15"/>
  <c r="G59" i="15" s="1"/>
  <c r="J65" i="15"/>
  <c r="I68" i="15" s="1"/>
  <c r="J45" i="15"/>
  <c r="I48" i="15" s="1"/>
  <c r="J61" i="15"/>
  <c r="G63" i="15" s="1"/>
  <c r="J69" i="15"/>
  <c r="G71" i="15" s="1"/>
  <c r="J41" i="15"/>
  <c r="E42" i="15" s="1"/>
  <c r="G75" i="15"/>
  <c r="J37" i="15"/>
  <c r="E38" i="15" s="1"/>
  <c r="J53" i="15"/>
  <c r="E54" i="15" s="1"/>
  <c r="J49" i="15"/>
  <c r="E50" i="15" s="1"/>
  <c r="J77" i="15"/>
  <c r="G79" i="15" s="1"/>
  <c r="F31" i="15"/>
  <c r="D30" i="15"/>
  <c r="F27" i="15"/>
  <c r="D26" i="15"/>
  <c r="F23" i="15"/>
  <c r="D22" i="15"/>
  <c r="E58" i="15" l="1"/>
  <c r="E34" i="15"/>
  <c r="G35" i="15"/>
  <c r="E70" i="15"/>
  <c r="E46" i="15"/>
  <c r="G67" i="15"/>
  <c r="I76" i="15"/>
  <c r="I72" i="15"/>
  <c r="E66" i="15"/>
  <c r="G47" i="15"/>
  <c r="G43" i="15"/>
  <c r="E62" i="15"/>
  <c r="J29" i="15"/>
  <c r="I32" i="15" s="1"/>
  <c r="J25" i="15"/>
  <c r="G27" i="15" s="1"/>
  <c r="I80" i="15"/>
  <c r="E78" i="15"/>
  <c r="J21" i="15"/>
  <c r="G23" i="15" s="1"/>
  <c r="G55" i="15"/>
  <c r="G51" i="15"/>
  <c r="G39" i="15"/>
  <c r="I52" i="15"/>
  <c r="D18" i="15"/>
  <c r="F19" i="15"/>
  <c r="F15" i="15"/>
  <c r="H16" i="15"/>
  <c r="D14" i="15"/>
  <c r="G31" i="15" l="1"/>
  <c r="E30" i="15"/>
  <c r="J13" i="15"/>
  <c r="I16" i="15" s="1"/>
  <c r="E26" i="15"/>
  <c r="J17" i="15"/>
  <c r="I20" i="15" s="1"/>
  <c r="E22" i="15"/>
  <c r="J11" i="15"/>
  <c r="E11" i="15" s="1"/>
  <c r="H10" i="15"/>
  <c r="I10" i="15" s="1"/>
  <c r="G10" i="15"/>
  <c r="E10" i="15"/>
  <c r="F9" i="15"/>
  <c r="D9" i="15"/>
  <c r="E9" i="15" s="1"/>
  <c r="I5" i="15"/>
  <c r="G5" i="15"/>
  <c r="E5" i="15"/>
  <c r="I4" i="15"/>
  <c r="G4" i="15"/>
  <c r="E4" i="15"/>
  <c r="I3" i="15"/>
  <c r="F3" i="15"/>
  <c r="G3" i="15" s="1"/>
  <c r="E3" i="15"/>
  <c r="I2" i="15"/>
  <c r="G2" i="15"/>
  <c r="E2" i="15"/>
  <c r="G15" i="15" l="1"/>
  <c r="E14" i="15"/>
  <c r="G11" i="15"/>
  <c r="I11" i="15"/>
  <c r="H9" i="15"/>
  <c r="I9" i="15" s="1"/>
  <c r="G19" i="15"/>
  <c r="E18" i="15"/>
  <c r="G9" i="15"/>
  <c r="M42" i="1"/>
  <c r="M41" i="1"/>
  <c r="M40" i="1"/>
  <c r="G35" i="1"/>
  <c r="L22" i="1" s="1"/>
  <c r="F35" i="1"/>
  <c r="K28" i="1" s="1"/>
  <c r="E35" i="1"/>
  <c r="J22" i="1" s="1"/>
  <c r="D35" i="1"/>
  <c r="I22" i="1" s="1"/>
  <c r="C35" i="1"/>
  <c r="O42" i="1" s="1"/>
  <c r="P34" i="1"/>
  <c r="N33" i="1"/>
  <c r="N32" i="1"/>
  <c r="L32" i="1"/>
  <c r="K32" i="1"/>
  <c r="N30" i="1"/>
  <c r="K29" i="1"/>
  <c r="N27" i="1"/>
  <c r="N26" i="1"/>
  <c r="N25" i="1"/>
  <c r="K22" i="1"/>
  <c r="G19" i="1"/>
  <c r="L18" i="1" s="1"/>
  <c r="F19" i="1"/>
  <c r="K18" i="1" s="1"/>
  <c r="E19" i="1"/>
  <c r="J18" i="1" s="1"/>
  <c r="D19" i="1"/>
  <c r="I18" i="1" s="1"/>
  <c r="C19" i="1"/>
  <c r="H18" i="1" s="1"/>
  <c r="N18" i="1"/>
  <c r="L17" i="1"/>
  <c r="K17" i="1"/>
  <c r="J17" i="1"/>
  <c r="I17" i="1"/>
  <c r="H17" i="1"/>
  <c r="M16" i="1"/>
  <c r="L16" i="1"/>
  <c r="K16" i="1"/>
  <c r="J16" i="1"/>
  <c r="I16" i="1"/>
  <c r="H16" i="1"/>
  <c r="L15" i="1"/>
  <c r="K15" i="1"/>
  <c r="J15" i="1"/>
  <c r="I15" i="1"/>
  <c r="H15" i="1"/>
  <c r="L14" i="1"/>
  <c r="K14" i="1"/>
  <c r="J14" i="1"/>
  <c r="I14" i="1"/>
  <c r="H14" i="1"/>
  <c r="L13" i="1"/>
  <c r="K13" i="1"/>
  <c r="J13" i="1"/>
  <c r="I13" i="1"/>
  <c r="H13" i="1"/>
  <c r="N12" i="1"/>
  <c r="M12" i="1"/>
  <c r="L12" i="1"/>
  <c r="K12" i="1"/>
  <c r="J12" i="1"/>
  <c r="I12" i="1"/>
  <c r="H12" i="1"/>
  <c r="N9" i="1"/>
  <c r="O8" i="1" s="1"/>
  <c r="P8" i="1" s="1"/>
  <c r="G9" i="1"/>
  <c r="L7" i="1" s="1"/>
  <c r="F9" i="1"/>
  <c r="K6" i="1" s="1"/>
  <c r="E9" i="1"/>
  <c r="D9" i="1"/>
  <c r="I6" i="1" s="1"/>
  <c r="C9" i="1"/>
  <c r="H8" i="1" s="1"/>
  <c r="L26" i="1" l="1"/>
  <c r="L29" i="1"/>
  <c r="J25" i="1"/>
  <c r="K31" i="1"/>
  <c r="L24" i="1"/>
  <c r="L25" i="1"/>
  <c r="L21" i="1"/>
  <c r="L23" i="1"/>
  <c r="E37" i="1"/>
  <c r="K25" i="1"/>
  <c r="K21" i="1"/>
  <c r="G83" i="15"/>
  <c r="J28" i="1"/>
  <c r="H32" i="1"/>
  <c r="H24" i="1"/>
  <c r="J24" i="1"/>
  <c r="J31" i="1"/>
  <c r="H29" i="1"/>
  <c r="H26" i="1"/>
  <c r="H22" i="1"/>
  <c r="N19" i="1"/>
  <c r="O17" i="1" s="1"/>
  <c r="P17" i="1" s="1"/>
  <c r="H25" i="1"/>
  <c r="H27" i="1"/>
  <c r="H30" i="1"/>
  <c r="H33" i="1"/>
  <c r="H28" i="1"/>
  <c r="H31" i="1"/>
  <c r="D36" i="1"/>
  <c r="J6" i="1"/>
  <c r="L6" i="1"/>
  <c r="L8" i="1"/>
  <c r="H21" i="1"/>
  <c r="H23" i="1"/>
  <c r="H34" i="1"/>
  <c r="I28" i="1"/>
  <c r="I31" i="1"/>
  <c r="E36" i="1"/>
  <c r="E39" i="1" s="1"/>
  <c r="I24" i="1"/>
  <c r="I34" i="1"/>
  <c r="F36" i="1"/>
  <c r="I21" i="1"/>
  <c r="I27" i="1"/>
  <c r="I30" i="1"/>
  <c r="J34" i="1"/>
  <c r="G36" i="1"/>
  <c r="J21" i="1"/>
  <c r="K24" i="1"/>
  <c r="J27" i="1"/>
  <c r="L28" i="1"/>
  <c r="J30" i="1"/>
  <c r="L31" i="1"/>
  <c r="I33" i="1"/>
  <c r="K34" i="1"/>
  <c r="D38" i="1"/>
  <c r="J7" i="1"/>
  <c r="I23" i="1"/>
  <c r="I26" i="1"/>
  <c r="K27" i="1"/>
  <c r="K30" i="1"/>
  <c r="J33" i="1"/>
  <c r="L34" i="1"/>
  <c r="E38" i="1"/>
  <c r="J23" i="1"/>
  <c r="J26" i="1"/>
  <c r="L27" i="1"/>
  <c r="I29" i="1"/>
  <c r="L30" i="1"/>
  <c r="I32" i="1"/>
  <c r="K33" i="1"/>
  <c r="F38" i="1"/>
  <c r="K7" i="1"/>
  <c r="J8" i="1"/>
  <c r="K23" i="1"/>
  <c r="I25" i="1"/>
  <c r="K26" i="1"/>
  <c r="J29" i="1"/>
  <c r="J32" i="1"/>
  <c r="L33" i="1"/>
  <c r="O7" i="1"/>
  <c r="P7" i="1" s="1"/>
  <c r="O6" i="1"/>
  <c r="N40" i="1"/>
  <c r="C37" i="1"/>
  <c r="O40" i="1"/>
  <c r="D37" i="1"/>
  <c r="D39" i="1" s="1"/>
  <c r="H7" i="1"/>
  <c r="I8" i="1"/>
  <c r="C36" i="1"/>
  <c r="G38" i="1"/>
  <c r="H6" i="1"/>
  <c r="I7" i="1"/>
  <c r="F37" i="1"/>
  <c r="K8" i="1"/>
  <c r="N21" i="1"/>
  <c r="G37" i="1"/>
  <c r="C38" i="1"/>
  <c r="F40" i="1" l="1"/>
  <c r="F39" i="1"/>
  <c r="O12" i="1"/>
  <c r="P12" i="1" s="1"/>
  <c r="O15" i="1"/>
  <c r="P15" i="1" s="1"/>
  <c r="G39" i="1"/>
  <c r="N41" i="1"/>
  <c r="D40" i="1"/>
  <c r="O41" i="1"/>
  <c r="O48" i="1" s="1"/>
  <c r="O16" i="1"/>
  <c r="P16" i="1" s="1"/>
  <c r="G40" i="1"/>
  <c r="N37" i="1"/>
  <c r="O9" i="1"/>
  <c r="P9" i="1" s="1"/>
  <c r="E40" i="1"/>
  <c r="P6" i="1"/>
  <c r="P21" i="1"/>
  <c r="N35" i="1"/>
  <c r="C39" i="1"/>
  <c r="C40" i="1"/>
  <c r="O45" i="1" l="1"/>
  <c r="O43" i="1"/>
  <c r="O44" i="1"/>
  <c r="O30" i="1"/>
  <c r="P30" i="1" s="1"/>
  <c r="N42" i="1"/>
  <c r="O27" i="1"/>
  <c r="P27" i="1" s="1"/>
  <c r="O26" i="1"/>
  <c r="P26" i="1" s="1"/>
  <c r="O25" i="1"/>
  <c r="P25" i="1" s="1"/>
  <c r="N38" i="1"/>
  <c r="N36" i="1"/>
  <c r="O18" i="1" s="1"/>
  <c r="P18" i="1" s="1"/>
  <c r="O32" i="1"/>
  <c r="O33" i="1"/>
  <c r="P33" i="1" s="1"/>
  <c r="O21" i="1"/>
  <c r="O35" i="1" l="1"/>
  <c r="P35" i="1" s="1"/>
  <c r="N48" i="1"/>
  <c r="N45" i="1"/>
  <c r="N44" i="1"/>
  <c r="N43" i="1"/>
  <c r="C43" i="10" l="1"/>
  <c r="C42" i="10"/>
  <c r="C41" i="10"/>
  <c r="H36" i="10"/>
  <c r="G36" i="10"/>
  <c r="F36" i="10"/>
  <c r="E36" i="10"/>
  <c r="D36" i="10"/>
  <c r="I35" i="10"/>
  <c r="D36" i="19" s="1"/>
  <c r="I34" i="10"/>
  <c r="D35" i="19" s="1"/>
  <c r="I33" i="10"/>
  <c r="D34" i="19" s="1"/>
  <c r="I32" i="10"/>
  <c r="D33" i="19" s="1"/>
  <c r="I31" i="10"/>
  <c r="D32" i="19" s="1"/>
  <c r="I30" i="10"/>
  <c r="D31" i="19" s="1"/>
  <c r="I29" i="10"/>
  <c r="D30" i="19" s="1"/>
  <c r="I28" i="10"/>
  <c r="D29" i="19" s="1"/>
  <c r="I27" i="10"/>
  <c r="D28" i="19" s="1"/>
  <c r="I26" i="10"/>
  <c r="D27" i="19" s="1"/>
  <c r="I25" i="10"/>
  <c r="D26" i="19" s="1"/>
  <c r="I24" i="10"/>
  <c r="D25" i="19" s="1"/>
  <c r="I23" i="10"/>
  <c r="D24" i="19" s="1"/>
  <c r="I22" i="10"/>
  <c r="D23" i="19" s="1"/>
  <c r="D19" i="10"/>
  <c r="I18" i="10"/>
  <c r="D16" i="10"/>
  <c r="I16" i="10" s="1"/>
  <c r="I15" i="10"/>
  <c r="D20" i="19" s="1"/>
  <c r="I14" i="10"/>
  <c r="D18" i="19" s="1"/>
  <c r="I13" i="10"/>
  <c r="D17" i="19" s="1"/>
  <c r="I12" i="10"/>
  <c r="D16" i="19" s="1"/>
  <c r="I11" i="10"/>
  <c r="D15" i="19" s="1"/>
  <c r="I10" i="10"/>
  <c r="D14" i="19" s="1"/>
  <c r="D8" i="10"/>
  <c r="I8" i="10" s="1"/>
  <c r="D41" i="10" s="1"/>
  <c r="I7" i="10"/>
  <c r="D11" i="19" s="1"/>
  <c r="I6" i="10"/>
  <c r="D10" i="19" s="1"/>
  <c r="I5" i="10"/>
  <c r="D9" i="19" s="1"/>
  <c r="C11" i="9"/>
  <c r="C9" i="9"/>
  <c r="I19" i="10" l="1"/>
  <c r="I20" i="10" s="1"/>
  <c r="I37" i="10" s="1"/>
  <c r="D21" i="19"/>
  <c r="D37" i="19"/>
  <c r="D12" i="19"/>
  <c r="D47" i="19" s="1"/>
  <c r="F11" i="9"/>
  <c r="F9" i="9"/>
  <c r="D9" i="9"/>
  <c r="D11" i="9"/>
  <c r="E11" i="9"/>
  <c r="E9" i="9"/>
  <c r="D20" i="10"/>
  <c r="D37" i="10" s="1"/>
  <c r="I36" i="10"/>
  <c r="D43" i="10" s="1"/>
  <c r="D38" i="19" l="1"/>
  <c r="D49" i="19"/>
  <c r="D48" i="19"/>
  <c r="I38" i="10"/>
  <c r="D44" i="10" s="1"/>
  <c r="E43" i="10" s="1"/>
  <c r="D42" i="10"/>
  <c r="H70" i="5"/>
  <c r="H71" i="5"/>
  <c r="H62" i="5"/>
  <c r="H63" i="5"/>
  <c r="H64" i="5"/>
  <c r="H65" i="5"/>
  <c r="H66" i="5"/>
  <c r="H67" i="5"/>
  <c r="H68" i="5"/>
  <c r="H69" i="5"/>
  <c r="H76" i="5"/>
  <c r="H77" i="5"/>
  <c r="H79" i="5"/>
  <c r="G71" i="5"/>
  <c r="G62" i="5"/>
  <c r="G64" i="5"/>
  <c r="G65" i="5"/>
  <c r="G66" i="5"/>
  <c r="G68" i="5"/>
  <c r="G69" i="5"/>
  <c r="G76" i="5"/>
  <c r="G77" i="5"/>
  <c r="G78" i="5"/>
  <c r="G79" i="5"/>
  <c r="F70" i="5"/>
  <c r="F71" i="5"/>
  <c r="F64" i="5"/>
  <c r="F65" i="5"/>
  <c r="F66" i="5"/>
  <c r="F67" i="5"/>
  <c r="F68" i="5"/>
  <c r="F69" i="5"/>
  <c r="F76" i="5"/>
  <c r="F77" i="5"/>
  <c r="F78" i="5"/>
  <c r="F79" i="5"/>
  <c r="E70" i="5"/>
  <c r="E71" i="5"/>
  <c r="E62" i="5"/>
  <c r="E63" i="5"/>
  <c r="E64" i="5"/>
  <c r="E65" i="5"/>
  <c r="E66" i="5"/>
  <c r="E67" i="5"/>
  <c r="E68" i="5"/>
  <c r="E69" i="5"/>
  <c r="E76" i="5"/>
  <c r="E77" i="5"/>
  <c r="E78" i="5"/>
  <c r="E79" i="5"/>
  <c r="D70" i="5"/>
  <c r="D71" i="5"/>
  <c r="D62" i="5"/>
  <c r="D63" i="5"/>
  <c r="D64" i="5"/>
  <c r="D65" i="5"/>
  <c r="D66" i="5"/>
  <c r="D67" i="5"/>
  <c r="D76" i="5"/>
  <c r="D77" i="5"/>
  <c r="D78" i="5"/>
  <c r="D79" i="5"/>
  <c r="B81" i="5"/>
  <c r="B80" i="5"/>
  <c r="B79" i="5"/>
  <c r="B78" i="5"/>
  <c r="B77" i="5"/>
  <c r="B76" i="5"/>
  <c r="I72" i="5"/>
  <c r="D68" i="5"/>
  <c r="G63" i="5"/>
  <c r="H57" i="5"/>
  <c r="G40" i="5"/>
  <c r="F57" i="5"/>
  <c r="E57" i="5"/>
  <c r="D57" i="5"/>
  <c r="B46" i="5"/>
  <c r="B45" i="5"/>
  <c r="B44" i="5"/>
  <c r="B43" i="5"/>
  <c r="B42" i="5"/>
  <c r="B41" i="5"/>
  <c r="I85" i="3"/>
  <c r="I81" i="3"/>
  <c r="I82" i="3"/>
  <c r="H85" i="3"/>
  <c r="H81" i="3"/>
  <c r="H82" i="3"/>
  <c r="G85" i="3"/>
  <c r="G81" i="3"/>
  <c r="G82" i="3"/>
  <c r="F85" i="3"/>
  <c r="F81" i="3"/>
  <c r="F82" i="3"/>
  <c r="E85" i="3"/>
  <c r="E81" i="3"/>
  <c r="E82" i="3"/>
  <c r="G71" i="3"/>
  <c r="E41" i="10" l="1"/>
  <c r="E42" i="10"/>
  <c r="I86" i="3"/>
  <c r="I87" i="3" s="1"/>
  <c r="H86" i="3"/>
  <c r="H87" i="3" s="1"/>
  <c r="E86" i="3"/>
  <c r="E87" i="3" s="1"/>
  <c r="F86" i="3"/>
  <c r="F87" i="3" s="1"/>
  <c r="G86" i="3"/>
  <c r="G87" i="3" s="1"/>
  <c r="F80" i="5"/>
  <c r="F81" i="5" s="1"/>
  <c r="H40" i="5"/>
  <c r="H60" i="5"/>
  <c r="I19" i="5"/>
  <c r="I21" i="5"/>
  <c r="I12" i="5"/>
  <c r="F62" i="5"/>
  <c r="I62" i="5" s="1"/>
  <c r="I28" i="5"/>
  <c r="F60" i="5"/>
  <c r="I18" i="5"/>
  <c r="I17" i="5"/>
  <c r="I77" i="5"/>
  <c r="F11" i="5"/>
  <c r="F61" i="5" s="1"/>
  <c r="I14" i="5"/>
  <c r="I9" i="5"/>
  <c r="I27" i="5"/>
  <c r="I66" i="5"/>
  <c r="D69" i="5"/>
  <c r="I69" i="5" s="1"/>
  <c r="D80" i="5"/>
  <c r="I59" i="5"/>
  <c r="G70" i="5"/>
  <c r="I70" i="5" s="1"/>
  <c r="I10" i="5"/>
  <c r="I29" i="5"/>
  <c r="G67" i="5"/>
  <c r="I67" i="5" s="1"/>
  <c r="D40" i="5"/>
  <c r="G57" i="5"/>
  <c r="I71" i="5"/>
  <c r="I13" i="5"/>
  <c r="E60" i="5"/>
  <c r="E11" i="5"/>
  <c r="E61" i="5" s="1"/>
  <c r="E80" i="5"/>
  <c r="E81" i="5" s="1"/>
  <c r="G11" i="5"/>
  <c r="G61" i="5" s="1"/>
  <c r="I68" i="5"/>
  <c r="F63" i="5"/>
  <c r="I63" i="5" s="1"/>
  <c r="G80" i="5"/>
  <c r="G81" i="5" s="1"/>
  <c r="I26" i="5"/>
  <c r="D11" i="5"/>
  <c r="D61" i="5" s="1"/>
  <c r="I16" i="5"/>
  <c r="I79" i="5"/>
  <c r="H80" i="5"/>
  <c r="I76" i="5"/>
  <c r="H32" i="5"/>
  <c r="I64" i="5"/>
  <c r="I20" i="5"/>
  <c r="H11" i="5"/>
  <c r="H23" i="5" s="1"/>
  <c r="E40" i="5"/>
  <c r="I42" i="5"/>
  <c r="F40" i="5"/>
  <c r="D32" i="5"/>
  <c r="D60" i="5"/>
  <c r="G60" i="5"/>
  <c r="H78" i="5"/>
  <c r="I78" i="5" s="1"/>
  <c r="E44" i="10" l="1"/>
  <c r="I45" i="5"/>
  <c r="F32" i="5"/>
  <c r="E73" i="5"/>
  <c r="E83" i="5" s="1"/>
  <c r="D73" i="5"/>
  <c r="F73" i="5"/>
  <c r="F83" i="5" s="1"/>
  <c r="I46" i="5"/>
  <c r="E32" i="5"/>
  <c r="F23" i="5"/>
  <c r="E23" i="5"/>
  <c r="F48" i="5"/>
  <c r="H34" i="5"/>
  <c r="I31" i="5"/>
  <c r="H81" i="5"/>
  <c r="I80" i="5"/>
  <c r="G73" i="5"/>
  <c r="G83" i="5" s="1"/>
  <c r="D81" i="5"/>
  <c r="I11" i="5"/>
  <c r="D23" i="5"/>
  <c r="D34" i="5" s="1"/>
  <c r="G23" i="5"/>
  <c r="G32" i="5"/>
  <c r="I60" i="5"/>
  <c r="H48" i="5"/>
  <c r="H61" i="5"/>
  <c r="H73" i="5" s="1"/>
  <c r="I41" i="5"/>
  <c r="F34" i="5" l="1"/>
  <c r="E34" i="5"/>
  <c r="E48" i="5"/>
  <c r="I61" i="5"/>
  <c r="I81" i="5"/>
  <c r="I23" i="5"/>
  <c r="H83" i="5"/>
  <c r="I32" i="5"/>
  <c r="D83" i="5"/>
  <c r="I43" i="5"/>
  <c r="G48" i="5"/>
  <c r="G34" i="5"/>
  <c r="I73" i="5"/>
  <c r="I44" i="5"/>
  <c r="D48" i="5"/>
  <c r="I34" i="5" l="1"/>
  <c r="I48" i="5"/>
  <c r="J43" i="5" s="1"/>
  <c r="I83" i="5"/>
  <c r="J44" i="5" l="1"/>
  <c r="J42" i="5"/>
  <c r="J45" i="5"/>
  <c r="J46" i="5"/>
  <c r="J48" i="5"/>
  <c r="I50" i="5"/>
  <c r="J41" i="5"/>
  <c r="G20" i="18" l="1"/>
  <c r="F20" i="18"/>
  <c r="E20" i="18"/>
  <c r="E37" i="18" l="1"/>
  <c r="F37" i="18"/>
  <c r="G37" i="18"/>
  <c r="H13" i="18"/>
  <c r="E14" i="19" s="1"/>
  <c r="E21" i="19" s="1"/>
  <c r="D20" i="18"/>
  <c r="D37" i="18" l="1"/>
  <c r="F20" i="19"/>
  <c r="G20" i="19" s="1"/>
  <c r="C48" i="19"/>
  <c r="F16" i="19"/>
  <c r="G16" i="19" s="1"/>
  <c r="F19" i="19"/>
  <c r="G19" i="19" s="1"/>
  <c r="F15" i="19"/>
  <c r="F18" i="19"/>
  <c r="G18" i="19" s="1"/>
  <c r="F17" i="19"/>
  <c r="G17" i="19" s="1"/>
  <c r="C12" i="27"/>
  <c r="K12" i="27" s="1"/>
  <c r="H20" i="18"/>
  <c r="F14" i="19"/>
  <c r="G14" i="19" s="1"/>
  <c r="H37" i="18" l="1"/>
  <c r="C35" i="27" s="1"/>
  <c r="K35" i="27" s="1"/>
  <c r="G15" i="19"/>
  <c r="L12" i="27"/>
  <c r="C20" i="27"/>
  <c r="L35" i="27" l="1"/>
  <c r="L20" i="27"/>
  <c r="K20" i="27"/>
  <c r="C26" i="18" l="1"/>
  <c r="C38" i="18" s="1"/>
  <c r="C69" i="18" s="1"/>
  <c r="D26" i="18"/>
  <c r="E26" i="18"/>
  <c r="F26" i="18"/>
  <c r="G26" i="18"/>
  <c r="F36" i="18" l="1"/>
  <c r="F38" i="18"/>
  <c r="F69" i="18" s="1"/>
  <c r="E36" i="18"/>
  <c r="E38" i="18"/>
  <c r="E69" i="18" s="1"/>
  <c r="G36" i="18"/>
  <c r="G38" i="18"/>
  <c r="G69" i="18" s="1"/>
  <c r="D36" i="18"/>
  <c r="D38" i="18"/>
  <c r="D69" i="18" s="1"/>
  <c r="C36" i="18"/>
  <c r="H26" i="18"/>
  <c r="H38" i="18" s="1"/>
  <c r="H69" i="18" s="1"/>
  <c r="C64" i="27" l="1"/>
  <c r="L64" i="27" s="1"/>
  <c r="H36" i="18"/>
  <c r="C34" i="27" s="1"/>
  <c r="E27" i="19"/>
  <c r="C24" i="27"/>
  <c r="K64" i="27" l="1"/>
  <c r="E37" i="19"/>
  <c r="E38" i="19" s="1"/>
  <c r="L34" i="27"/>
  <c r="K34" i="27"/>
  <c r="K24" i="27"/>
  <c r="L24" i="27"/>
  <c r="F27" i="19" l="1"/>
  <c r="G27" i="19" s="1"/>
  <c r="C49" i="19"/>
  <c r="F37" i="19"/>
  <c r="G37" i="19" s="1"/>
  <c r="F31" i="19"/>
  <c r="G31" i="19" s="1"/>
  <c r="F29" i="19"/>
  <c r="G29" i="19" s="1"/>
  <c r="F34" i="19"/>
  <c r="G34" i="19" s="1"/>
  <c r="F30" i="19"/>
  <c r="G30" i="19" s="1"/>
  <c r="F25" i="19"/>
  <c r="G25" i="19" s="1"/>
  <c r="F28" i="19"/>
  <c r="G28" i="19" s="1"/>
  <c r="F33" i="19"/>
  <c r="G33" i="19" s="1"/>
  <c r="F23" i="19"/>
  <c r="G23" i="19" s="1"/>
  <c r="F24" i="19"/>
  <c r="G24" i="19" s="1"/>
  <c r="F32" i="19"/>
  <c r="G32" i="19" s="1"/>
  <c r="F26" i="19"/>
  <c r="G26" i="19" s="1"/>
  <c r="F36" i="19"/>
  <c r="G36" i="19" s="1"/>
  <c r="F35" i="19"/>
  <c r="G35" i="19" s="1"/>
  <c r="F12" i="19" l="1"/>
  <c r="G12" i="19" s="1"/>
  <c r="F21" i="19"/>
  <c r="G21"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Abdul Basith Shaukath</author>
  </authors>
  <commentList>
    <comment ref="B9" authorId="0" shapeId="0" xr:uid="{65B54266-3AC5-514C-A4E7-C6FFE737F094}">
      <text>
        <r>
          <rPr>
            <sz val="10"/>
            <color rgb="FF000000"/>
            <rFont val="Tahoma"/>
            <family val="2"/>
          </rPr>
          <t>Note: This tool is only intended to be used in countries with lower digital health market maturity (1 - 3). Only those countries are included in the dropdown option.</t>
        </r>
      </text>
    </comment>
    <comment ref="B10" authorId="0" shapeId="0" xr:uid="{A6721AAD-29D5-6D4A-87D0-8C62A04FC439}">
      <text>
        <r>
          <rPr>
            <sz val="10"/>
            <color rgb="FF000000"/>
            <rFont val="Tahoma"/>
            <family val="2"/>
          </rPr>
          <t xml:space="preserve">Entry should be a number. </t>
        </r>
      </text>
    </comment>
    <comment ref="B12" authorId="0" shapeId="0" xr:uid="{E893F4D3-C182-D04D-8B09-67964CF0154C}">
      <text>
        <r>
          <rPr>
            <sz val="10"/>
            <color rgb="FF000000"/>
            <rFont val="Tahoma"/>
            <family val="2"/>
          </rPr>
          <t>The discount rate is used to calculate present value of the implementation over five years. A 3% annual discount rate is consistent with global health evaluations, but another rate can be selected.</t>
        </r>
      </text>
    </comment>
    <comment ref="B14" authorId="0" shapeId="0" xr:uid="{A532F4FD-7C04-6841-819D-58359C3037D0}">
      <text>
        <r>
          <rPr>
            <sz val="10"/>
            <color rgb="FF000000"/>
            <rFont val="Tahoma"/>
            <family val="2"/>
          </rPr>
          <t>A 20% replacement is consistent with other digital health implementations but should be adjusted based on experience (appropriate range is generally 10-25%). A 20% replacement rate means that on average equipment needs to be replaced every 5 years but replacement costs are assumed to be incurred every year to replace damaged or broken equipment</t>
        </r>
      </text>
    </comment>
    <comment ref="B16" authorId="0" shapeId="0" xr:uid="{315E97B1-90F7-C746-B6CC-77F7CFE9CAC5}">
      <text>
        <r>
          <rPr>
            <sz val="10"/>
            <color rgb="FF000000"/>
            <rFont val="Tahoma"/>
            <family val="2"/>
          </rPr>
          <t>The server hosting model is the infrastructure where the system’s central software resides. This TCO tool assumes the implementation will be hosted on a local server (at the site of the user), offsite at a central data center, or on a third-party cloud service (such as Amazon Web Services) with adequate stability, security, and infrastructure</t>
        </r>
      </text>
    </comment>
    <comment ref="B18" authorId="0" shapeId="0" xr:uid="{2FD469BD-CBD5-0741-8B23-8FC83C979E7F}">
      <text>
        <r>
          <rPr>
            <sz val="10"/>
            <color rgb="FF000000"/>
            <rFont val="Tahoma"/>
            <family val="2"/>
          </rPr>
          <t>If self-hosting, consider the following costs: 1) Cost of the server, 2) Full-time dev ops engineer at 0.5 FTE/server, 3) Privacy auditing infrastructure, 4)Active security and intrusion detection, 5) High-speed internet, 6) Installation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tc={CCBFAEB8-58C0-4147-AA84-E31EE63BA0AF}</author>
  </authors>
  <commentList>
    <comment ref="A28" authorId="0" shapeId="0" xr:uid="{CCBFAEB8-58C0-4147-AA84-E31EE63BA0AF}">
      <text>
        <t>[Threaded comment]
Your version of Excel allows you to read this threaded comment; however, any edits to it will get removed if the file is opened in a newer version of Excel. Learn more: https://go.microsoft.com/fwlink/?linkid=870924
Comment:
    Instead of some of these scenarios, could simply have notes next to each option so the tool itself would not adjust but the user could see how costs would change based on these options.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Audrey Philippot</author>
  </authors>
  <commentList>
    <comment ref="C85" authorId="0" shapeId="0" xr:uid="{73F23E0A-4EDD-4252-B97A-67481205EB40}">
      <text>
        <r>
          <rPr>
            <sz val="9"/>
            <color indexed="81"/>
            <rFont val="Calibri"/>
            <family val="2"/>
          </rPr>
          <t xml:space="preserve">
Enterprise pricing depends on the number of project spaces included. The amount mentioned here would only be an illustrative , if you have selected "Enterprise" in row 15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Audrey Philippot</author>
  </authors>
  <commentList>
    <comment ref="B10" authorId="0" shapeId="0" xr:uid="{F90A9AA8-2C4D-4220-A6D8-F4244C3F9A94}">
      <text>
        <r>
          <rPr>
            <b/>
            <sz val="9"/>
            <color indexed="81"/>
            <rFont val="Calibri"/>
            <family val="2"/>
          </rPr>
          <t>Audrey Philippot:</t>
        </r>
        <r>
          <rPr>
            <sz val="9"/>
            <color indexed="81"/>
            <rFont val="Calibri"/>
            <family val="2"/>
          </rPr>
          <t xml:space="preserve">
Project Manager, Field Manager, [Insert type] staff</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tc={0DB25C53-72D3-4912-8133-EB6785EC099A}</author>
    <author>tc={85F5E5B9-03D5-490D-BF84-34CB5E36F4E7}</author>
  </authors>
  <commentList>
    <comment ref="G1" authorId="0" shapeId="0" xr:uid="{0DB25C53-72D3-4912-8133-EB6785EC099A}">
      <text>
        <t>[Threaded comment]
Your version of Excel allows you to read this threaded comment; however, any edits to it will get removed if the file is opened in a newer version of Excel. Learn more: https://go.microsoft.com/fwlink/?linkid=870924
Comment:
    There are more details in the Excel document (https://path.ent.box.com/file/756319051601?s=jaq3x54uwhr3m8n1y9bwdsspy9582nr0) and the report which I believe are linked (https://path.ent.box.com/file/756317862355?s=505jnhxy8fkcug44tkbf74bnwhw3aoph). I added what seemed reasonable from these documents. The report also has which costs will be different based on build/buy/outsource.</t>
      </text>
    </comment>
    <comment ref="K1" authorId="1" shapeId="0" xr:uid="{85F5E5B9-03D5-490D-BF84-34CB5E36F4E7}">
      <text>
        <t>[Threaded comment]
Your version of Excel allows you to read this threaded comment; however, any edits to it will get removed if the file is opened in a newer version of Excel. Learn more: https://go.microsoft.com/fwlink/?linkid=870924
Comment:
    I had a hard time mapping these to the other ones since the categories are so broad and cross cutting.</t>
      </text>
    </comment>
  </commentList>
</comments>
</file>

<file path=xl/sharedStrings.xml><?xml version="1.0" encoding="utf-8"?>
<sst xmlns="http://schemas.openxmlformats.org/spreadsheetml/2006/main" count="3337" uniqueCount="1776">
  <si>
    <t>Project Management</t>
  </si>
  <si>
    <t>Project management activities for project scoping, planning, final signoff, procurement, and change management. Collaboration with stakeholders to set the overall vision and strategy. Create detailed project workplan and timeline. Finalize budget and obtain stakeholder approval.  Contracting, including identifying requirements, creating RFP, evaluation RFP, and contract negotiation with software implementers and hardware vendors. Identify expected business process and staffing changes as a result of the implementation.</t>
  </si>
  <si>
    <t>Needs Assessment and Requirements Specifications</t>
  </si>
  <si>
    <t xml:space="preserve">Software Development </t>
  </si>
  <si>
    <t>Software development and adaptation of the core software to enable country-level project needs or functionality that may not yet be supported.  Customization may be necessary to allow integration or interoperability with other health IT systems at the country level.  This customization could be performed by the primary global goods platform, implementation vendor, or project team. Localization may be necessary specific location, such as language adaptations or specialized terminology.</t>
  </si>
  <si>
    <t>Equipment</t>
  </si>
  <si>
    <t>Centralized capital equipment as well as distributed equipment. Equipment budgets should also account for failover redundancy and disaster recovery.</t>
  </si>
  <si>
    <t>Infrastructure</t>
  </si>
  <si>
    <t>Infrastructure costs includes electricity, data center hosting, and connectivity (e.g., internet access, SMS costs, backup generator costs).</t>
  </si>
  <si>
    <t>Implementation Services</t>
  </si>
  <si>
    <t>Includes initial configuration of settings and user accounts, plus data configuration such as migration of data and setup of custom schemes and/or data types.</t>
  </si>
  <si>
    <t>Integration and Interoperability</t>
  </si>
  <si>
    <t>Labor necessary to set up communication and standards compliance between system and existing systems. This category covers configuration and implementation work. If the software is not capable of communicating with existing software, adaptation is covered under software the customization bucket.</t>
  </si>
  <si>
    <t>New Deployment Training</t>
  </si>
  <si>
    <t>Costs associated with the development of a training framework, Standard Operating Procedure (SOP), training curriculum and material, eLearning platform, and a train-the-trainers program for all facilities that still require training.</t>
  </si>
  <si>
    <t>Software Development</t>
  </si>
  <si>
    <t>Development costs for major modifications or scope expansion, includes software development costs post initial deployment and ongoing product expansion.</t>
  </si>
  <si>
    <t>Scaling</t>
  </si>
  <si>
    <t xml:space="preserve">Defining the scope of expansion and deployment activities. Identify expected business process and required staffing changes. Costs to further deploy the solution includes all deployment phase activities. All Phase II Deployment activities and costs. </t>
  </si>
  <si>
    <t>Equipment Replacement</t>
  </si>
  <si>
    <t xml:space="preserve">Computer hardware is often replaced once it becomes obsolete.  This cost can be estimated for most equipment based on expected useful life. </t>
  </si>
  <si>
    <t xml:space="preserve"> Infrastructure Replacement</t>
  </si>
  <si>
    <t>Infrastructure costs includes electricity, data center hosting, and connectivity (e.g., internet access, SMS costs, backup generator costs, etc.).</t>
  </si>
  <si>
    <t>Software Licensing and Subscriptions</t>
  </si>
  <si>
    <t>Includes recurring software licensing costs. If the system is a global good costs are typically open source with zero licensing fees, supporting software (e.g. databases, operating systems) may require licensing fees.</t>
  </si>
  <si>
    <t>Data and Voice Services</t>
  </si>
  <si>
    <t>Recurring voice and data services fees.</t>
  </si>
  <si>
    <t>Recurrent Training</t>
  </si>
  <si>
    <t>Includes all elements to deliver refresher training and staff turnover training at set intervals. Key activities including trainer time, train-the-trainer sessions, training materials, and any required travel.</t>
  </si>
  <si>
    <t>Helpdesk Support</t>
  </si>
  <si>
    <t>Costs associated with labor for operating the system; includes system administrators, DBAs, business analysts, as well as a support team that provides ongoing end user support.</t>
  </si>
  <si>
    <t>Maintenance</t>
  </si>
  <si>
    <t>Costs associated with maintaining the IT system (e.g. patches, downtime, scheduled + unscheduled). Final SLAs and maintenance contract(s).</t>
  </si>
  <si>
    <t>Testing</t>
  </si>
  <si>
    <t>Covers testing which can be conducted as discrete scheduled activities for the central system environment including load, security, disaster recovery, and redundancy testing. Testing done as a routine step in regular software development and maintenance including unit, integration, QA, UAT, and smoke testing is included in the software development and maintenance sub-categories.</t>
  </si>
  <si>
    <t>Transfer of Ownership</t>
  </si>
  <si>
    <t>Costs associated with transferring ownership from the implementation vendor(s) to the government.</t>
  </si>
  <si>
    <t>Costs associated with managing the project, typically the costs of project manager role.</t>
  </si>
  <si>
    <t>Transportation and Communication</t>
  </si>
  <si>
    <t>Costs associated with ad hoc and routine transportation and communications between core staff for project management and execution.</t>
  </si>
  <si>
    <t>Governance</t>
  </si>
  <si>
    <t>Resource or time costs associated with overall digital health governance in the Ministry, including developing visions, national guidelines, strategic plans, and implementation.</t>
  </si>
  <si>
    <t>Monitoring &amp; Evaluation</t>
  </si>
  <si>
    <t>Costs associated with monitoring and evaluating program efficacy and impact.  Includes creating reporting plan, metrics collection, writing reports, liaising with donors / funders.</t>
  </si>
  <si>
    <t>Procurement</t>
  </si>
  <si>
    <t>Costs associated with contracting, including identifying requirements, creating RFP, evaluating RFP, and contract negotiation with software implementers and hardware vendors.</t>
  </si>
  <si>
    <t>Total</t>
  </si>
  <si>
    <t>Total Cap-ex</t>
  </si>
  <si>
    <t>Total Op-ex</t>
  </si>
  <si>
    <t>Total all</t>
  </si>
  <si>
    <t>Activity</t>
  </si>
  <si>
    <t>Description</t>
  </si>
  <si>
    <t>Cost 5 year</t>
  </si>
  <si>
    <t>Tanzania</t>
  </si>
  <si>
    <t>Ethiopia</t>
  </si>
  <si>
    <t>Mozambique</t>
  </si>
  <si>
    <t>Malawi</t>
  </si>
  <si>
    <t>Zambia</t>
  </si>
  <si>
    <t>Landscaping to assess the current state and enabling regulatory environment. Assess integration, migration, and reporting requirements. Conduct business process analysis, data modeling, site and server assessment. Document landscaping, needs assessment, and requirements specifications</t>
  </si>
  <si>
    <t>% of costs by phase</t>
  </si>
  <si>
    <t>Data entry</t>
  </si>
  <si>
    <t>Check</t>
  </si>
  <si>
    <t>Guidance</t>
  </si>
  <si>
    <t>Greater than 60% of Project Scoping Costs</t>
  </si>
  <si>
    <t>Draft Tool</t>
  </si>
  <si>
    <t>Yes</t>
  </si>
  <si>
    <t>No</t>
  </si>
  <si>
    <t>Combine with above</t>
  </si>
  <si>
    <t>Combine with below</t>
  </si>
  <si>
    <t>Cost</t>
  </si>
  <si>
    <t>N/A</t>
  </si>
  <si>
    <t>Between 5-20% of the Deployment Costs</t>
  </si>
  <si>
    <t>10% or less of Deployment Costs</t>
  </si>
  <si>
    <t>Equipment/infrastructure shared (Yes or No)</t>
  </si>
  <si>
    <t>Budget five year replacement costs for equipment and infrastructure</t>
  </si>
  <si>
    <t>Between 5% and 25% of the Operations Costs</t>
  </si>
  <si>
    <t>Include any testing costs</t>
  </si>
  <si>
    <t>Include any transfer of ownership costs</t>
  </si>
  <si>
    <t>Include any governance costs</t>
  </si>
  <si>
    <t>Include any procurement costs</t>
  </si>
  <si>
    <t>Between 15% and 35% of Operations Costs</t>
  </si>
  <si>
    <t>Valid input</t>
  </si>
  <si>
    <t>Include any transportation costs</t>
  </si>
  <si>
    <t>Less than 20% of the Operations Costs</t>
  </si>
  <si>
    <t>Scenario</t>
  </si>
  <si>
    <t>Equipment and infrastructure costs may be shared across more than one project.  Please enter if these costs should be shared.</t>
  </si>
  <si>
    <t>Between 20% and 40% of Project Scoping Costs</t>
  </si>
  <si>
    <t>Between 2% and 10% of Project Scoping Costs</t>
  </si>
  <si>
    <t>Reference</t>
  </si>
  <si>
    <t>Tool Data</t>
  </si>
  <si>
    <t>1) Enter in costs in USD or in local currency in yellow cells (column N) for a phase.  Please refer to cost guidance in column M.</t>
  </si>
  <si>
    <t>3) Compare your costs to a benchmark for a LMIS global good</t>
  </si>
  <si>
    <t>2) After all costs are entered for a given phase, review column P to see if any costs may be over budgeted or under budgeted</t>
  </si>
  <si>
    <t xml:space="preserve">Between 10% and 20% of  the Total Cost of Ownership (TCO).  </t>
  </si>
  <si>
    <t>Include any software licensing costs</t>
  </si>
  <si>
    <t>Include any data and voice services</t>
  </si>
  <si>
    <t>Between 15% and 30% of the Operations Costs.  Train the trainer models are often lower in costs.</t>
  </si>
  <si>
    <t>Between 5% and 30% of the Operations Costs.  In country help desk support is lower in cost than implementations relient on international partners.</t>
  </si>
  <si>
    <t>Potential CommCare software plans</t>
  </si>
  <si>
    <t>Community</t>
  </si>
  <si>
    <t>Standard</t>
  </si>
  <si>
    <t>PRO</t>
  </si>
  <si>
    <t>Advanced</t>
  </si>
  <si>
    <t>Enterprise</t>
  </si>
  <si>
    <t>TRANSLATED Language</t>
  </si>
  <si>
    <t>Legend for color coding</t>
  </si>
  <si>
    <t>Scale of Operations</t>
  </si>
  <si>
    <t>Operaciones en escala</t>
  </si>
  <si>
    <t>Year 1</t>
  </si>
  <si>
    <t>Year 2</t>
  </si>
  <si>
    <t>Year 3</t>
  </si>
  <si>
    <t>Year 4</t>
  </si>
  <si>
    <t>Year 5</t>
  </si>
  <si>
    <t>Basic INPUTS (Required)</t>
  </si>
  <si>
    <t>Number of FLWs using CommCare</t>
  </si>
  <si>
    <t>Número depromotores de salud utilizando CommCare</t>
  </si>
  <si>
    <t>OUTPUTS</t>
  </si>
  <si>
    <t># People covered per FLW</t>
  </si>
  <si>
    <t>Número de personas atendidas por cada promotor/a de salud</t>
  </si>
  <si>
    <t>Major OUTPUTS</t>
  </si>
  <si>
    <t>Selected CommCare software plan (see https://www.commcarehq.org/pricing/#software)</t>
  </si>
  <si>
    <t>Plan de software seleccionado de CommCare (ver https://www.commcarehq.org/pricing/#software)</t>
  </si>
  <si>
    <t>New staff needed for CommCare</t>
  </si>
  <si>
    <t>Personal adicional necesarias para CommCare</t>
  </si>
  <si>
    <t>Units</t>
  </si>
  <si>
    <t>Per # FLW</t>
  </si>
  <si>
    <t>Note: Pre-populated inputs are estimates, based on Dimagi experience in India in 2012 and should be carefully reviewed to adjust to your situation (see Dimagi Assumption Explanations for more details)</t>
  </si>
  <si>
    <t>Number of new Project Managers per XX FLWs</t>
  </si>
  <si>
    <t>Número de administradores del proyecto por XX promotores de salud</t>
  </si>
  <si>
    <t>Number of new Field Staff per XX FLWs</t>
  </si>
  <si>
    <t>Número de personal de campo por XX promotores de salud</t>
  </si>
  <si>
    <t>(insert other if needed) Number of new [Type] Staff per XX FLWs</t>
  </si>
  <si>
    <t>(insertar otro de ser necesario) Número de personal nuevo [tipo] por XX promotores de salud</t>
  </si>
  <si>
    <t>Yearly Inflation rate</t>
  </si>
  <si>
    <t>DETAILED PROJECTED COSTS</t>
  </si>
  <si>
    <t>COSTOS DETALLADOS PROYECTADOS</t>
  </si>
  <si>
    <t>Unit type</t>
  </si>
  <si>
    <t># of Units</t>
  </si>
  <si>
    <t>Cost / unit (USD)</t>
  </si>
  <si>
    <t>Annual CommCare Training Costs</t>
  </si>
  <si>
    <t>Costo de capacitaciones anuales</t>
  </si>
  <si>
    <t>Attrition rate</t>
  </si>
  <si>
    <t xml:space="preserve">Tasa de deserción   </t>
  </si>
  <si>
    <t>%</t>
  </si>
  <si>
    <t>Per FLW</t>
  </si>
  <si>
    <t>Por Promotor/a de Salud</t>
  </si>
  <si>
    <t>Initial training days</t>
  </si>
  <si>
    <t>Días de capacitación inicial</t>
  </si>
  <si>
    <t>days per year</t>
  </si>
  <si>
    <t>Recurring training days</t>
  </si>
  <si>
    <t>Días de capacitación recurrentes</t>
  </si>
  <si>
    <t>Per Project Manager</t>
  </si>
  <si>
    <t>Por Administrador de Proyecto</t>
  </si>
  <si>
    <t>Per Field Staff</t>
  </si>
  <si>
    <t>Por Personal de Campo</t>
  </si>
  <si>
    <t>Monthly Operating Costs</t>
  </si>
  <si>
    <t>Costos de Operación por Mes</t>
  </si>
  <si>
    <t>Voice and data plan</t>
  </si>
  <si>
    <t>Plan de datos y voz</t>
  </si>
  <si>
    <t>monthly</t>
  </si>
  <si>
    <t>Additional Incentive / Salary / benefits</t>
  </si>
  <si>
    <t>Incentivo/Salario/Beneficios</t>
  </si>
  <si>
    <t>(Insert other)</t>
  </si>
  <si>
    <t>(Insertar otro)</t>
  </si>
  <si>
    <t>Total monthly</t>
  </si>
  <si>
    <t>Per New Project Manager</t>
  </si>
  <si>
    <t>Incentive / Salary / benefits</t>
  </si>
  <si>
    <t>Site visit/Transport costs</t>
  </si>
  <si>
    <t>Visita de campo/Gastos de transporte</t>
  </si>
  <si>
    <t>Per New Field Staff</t>
  </si>
  <si>
    <t>Per new [Insert Type] Staff</t>
  </si>
  <si>
    <t>Por Personal de […]</t>
  </si>
  <si>
    <t>Plan de datos y vozn</t>
  </si>
  <si>
    <t>Additional Office space costs</t>
  </si>
  <si>
    <t>Gastos Adicionales de Oficina</t>
  </si>
  <si>
    <t>Office Internet</t>
  </si>
  <si>
    <t>Internet en la oficina</t>
  </si>
  <si>
    <t>Additional administrative expenses (electricity, water, rent, supplies, building safety, etc..)</t>
  </si>
  <si>
    <t xml:space="preserve">Gastos administrativos adicionales (luz, agua, alquiler, insumos, manten de edificios, seguridad, etc.) </t>
  </si>
  <si>
    <t>New Equipment / Capital Expenses</t>
  </si>
  <si>
    <t xml:space="preserve"> Equipo/gastos de capital</t>
  </si>
  <si>
    <t>Capital Depreciation / Replacement Rate for netbooks/computers/solar equipment</t>
  </si>
  <si>
    <t>Depreciación de capital / tasa de sustitución de netbooks/computadoras/equipo solar</t>
  </si>
  <si>
    <t>Capital Depreciation / Replacement Rate for phones</t>
  </si>
  <si>
    <t>Depreciación de capital / tasa de sustitución de teléfonos</t>
  </si>
  <si>
    <t>Mobile Phones / chargers / SIM card &amp; registration</t>
  </si>
  <si>
    <t>Teléfonos móviles / cargadores / tarjetas SIM &amp; registro</t>
  </si>
  <si>
    <t>Per Worker (FLW, Manager, Staff)</t>
  </si>
  <si>
    <t>Solar equipment for device charging</t>
  </si>
  <si>
    <t>Sistema Solar para cargar aparatos</t>
  </si>
  <si>
    <t>Per Worker</t>
  </si>
  <si>
    <t>Netbook per New Project Manager(PM)</t>
  </si>
  <si>
    <t>Netbook o portátil Por Administrador de Proyecto</t>
  </si>
  <si>
    <t>Per Project Mger</t>
  </si>
  <si>
    <t>Netbook per new Field Staff (FS)</t>
  </si>
  <si>
    <t>Netbook o portátil Por Personal de Campo</t>
  </si>
  <si>
    <t>Rer Field staff</t>
  </si>
  <si>
    <t>Netbook per new [Insert type] Staff</t>
  </si>
  <si>
    <t>Netbook o portátil Por Personal de [Insertar]</t>
  </si>
  <si>
    <t>Per [Insert type] Staff</t>
  </si>
  <si>
    <t>Additional equipment needed for Office</t>
  </si>
  <si>
    <t>Equipo adicional por oficina</t>
  </si>
  <si>
    <t>GPRS Modem</t>
  </si>
  <si>
    <t>Módem GPRS</t>
  </si>
  <si>
    <t>per unit (office)</t>
  </si>
  <si>
    <t>Additional Computer equipment</t>
  </si>
  <si>
    <t>Equipo de computación adicional</t>
  </si>
  <si>
    <t>Estimated number of mobile app users</t>
  </si>
  <si>
    <t>Included number of mobile app users in the software plan</t>
  </si>
  <si>
    <t>CommCare hosting fees per month</t>
  </si>
  <si>
    <t>CommCare hosting plan (Community =$0, Standard = $250, PRO = $500, Advanced=$1,000) - based on an annual billing cycle</t>
  </si>
  <si>
    <t>Plan de hosting de CommCare (Community =$0, Standard = $100, PRO = $500, Advanced=$1,000)</t>
  </si>
  <si>
    <t>Additional $2 fee per users (after included users) - (Note: Different pricing for Enterprise)</t>
  </si>
  <si>
    <t>Tarifa de $1 adicional por usuario (después de los 50 usuarios gratuitos)</t>
  </si>
  <si>
    <t>TOTAL CommCare cost (per month)</t>
  </si>
  <si>
    <t>Costo de CommCare TOTAL (por mes)</t>
  </si>
  <si>
    <r>
      <t xml:space="preserve">Per [Insert Type] Staff </t>
    </r>
    <r>
      <rPr>
        <i/>
        <sz val="10"/>
        <rFont val="Calibri"/>
        <family val="2"/>
      </rPr>
      <t>(if additional category needed)</t>
    </r>
  </si>
  <si>
    <r>
      <t xml:space="preserve">Por Personal de [Insertar] </t>
    </r>
    <r>
      <rPr>
        <i/>
        <sz val="10"/>
        <rFont val="Calibri"/>
        <family val="2"/>
      </rPr>
      <t>(agregar categoría adicional de ser necesario)</t>
    </r>
  </si>
  <si>
    <t>TOTAL COST OF OWNERSHIP (TCO) OF MOBILE APP. PROJECT</t>
  </si>
  <si>
    <t>TOTAL COSTS PER YEAR</t>
  </si>
  <si>
    <t>TOTAL COSTS</t>
  </si>
  <si>
    <t>TOTAL</t>
  </si>
  <si>
    <t>Operating Costs</t>
  </si>
  <si>
    <t>FLW - Data plans and add. salaries</t>
  </si>
  <si>
    <t>Staff &amp; Management - Data plan and salaries</t>
  </si>
  <si>
    <t>Trainings</t>
  </si>
  <si>
    <t>Training - Existing FLWs</t>
  </si>
  <si>
    <t>Training - Existing Project Managers</t>
  </si>
  <si>
    <t>Training - Existing Field Staff</t>
  </si>
  <si>
    <t>Training - Existing [Insert Type] Staff</t>
  </si>
  <si>
    <t>Training - NEW FLWs</t>
  </si>
  <si>
    <t>Training - NEW Project Managers</t>
  </si>
  <si>
    <t>Training - NEW Field Staff</t>
  </si>
  <si>
    <t>Training - NEW [Insert type] Staff</t>
  </si>
  <si>
    <t>Office expenses</t>
  </si>
  <si>
    <t>Dimagi - CommCare hosting fees</t>
  </si>
  <si>
    <t>TOTAL OPEX</t>
  </si>
  <si>
    <t>Capital/Equipment Costs</t>
  </si>
  <si>
    <t>Netbooks for project manager</t>
  </si>
  <si>
    <t>Netbooks for field staff</t>
  </si>
  <si>
    <t>Netbooks for [Insert type] staff</t>
  </si>
  <si>
    <t>Total Capital / Equipment</t>
  </si>
  <si>
    <t>TOTAL PER BENEFICIARY</t>
  </si>
  <si>
    <t>AVERAGE YEARLY COSTS PER FLW</t>
  </si>
  <si>
    <t>Average Yearly Costs for Modelled Org (per FLW)</t>
  </si>
  <si>
    <t xml:space="preserve">ANNUAL AVERAGE </t>
  </si>
  <si>
    <t>AVERAGE PROJECTED COSTS (per FLW)</t>
  </si>
  <si>
    <t>Total Avg. Annual Total Cost of Ownership (per FLW)</t>
  </si>
  <si>
    <t>TOTAL COSTS PER YEAR (with split data plans and salaries)</t>
  </si>
  <si>
    <t>FLW &amp; management - Data plans</t>
  </si>
  <si>
    <t xml:space="preserve">FLW &amp; Management - salaries </t>
  </si>
  <si>
    <t>General</t>
  </si>
  <si>
    <t>Possible edits to make</t>
  </si>
  <si>
    <t>Add user guide to include:</t>
  </si>
  <si>
    <t>Tool overview - describe process, tabs, etc</t>
  </si>
  <si>
    <t>Key considerations</t>
  </si>
  <si>
    <t>Glossary of terms</t>
  </si>
  <si>
    <t>Notes and limitations</t>
  </si>
  <si>
    <t>Contact info</t>
  </si>
  <si>
    <t>Organization of tool/tabs</t>
  </si>
  <si>
    <t xml:space="preserve">Option to direct tool user to input data for digital system that is based on number/ type of end users vs. not scalable by end user vs. combination ? </t>
  </si>
  <si>
    <t>Additional thoughts</t>
  </si>
  <si>
    <t>Data inputs tab (based on type of tool)</t>
  </si>
  <si>
    <t>Plan and budget</t>
  </si>
  <si>
    <t xml:space="preserve">Reference/benchmark </t>
  </si>
  <si>
    <t>Country</t>
  </si>
  <si>
    <t xml:space="preserve">Can we incorporate market maturity as an element? Perhaps as a generic call out box in the Plan and Budget section based on the maturity of the country? </t>
  </si>
  <si>
    <t>Option to use local currency</t>
  </si>
  <si>
    <t>Enter current exchange rate</t>
  </si>
  <si>
    <t>Link to a resource?</t>
  </si>
  <si>
    <t>Need to confirm generalizability of LMIS and CommCare TCOs to other digital health solutions. We have the PATH document on "Cost profile for a typical information system" which is very generic. Data may not be robust enough to provide a TCO tool beyond LMIS.</t>
  </si>
  <si>
    <t>Could use 1) CapEx/OpEx, 2) phases of LMIS TCO (Project scoping/planning development, Deployment, Scaling, Operations), or 3) Other such as PATH toolkit (Pilot, Scale, Sustain which are further segmented by Develop, Deploy, Run)</t>
  </si>
  <si>
    <t>Description and scope of tool - both TCO/budgeting and benchmark tool, what it is and is not</t>
  </si>
  <si>
    <t xml:space="preserve">Overview of TCO components - either CapEx/OpEx or by phase </t>
  </si>
  <si>
    <t>Data sources</t>
  </si>
  <si>
    <t>Disclaimer</t>
  </si>
  <si>
    <t>General - Data inputs</t>
  </si>
  <si>
    <t>LMIS/national implementation - Data inputs</t>
  </si>
  <si>
    <t>USAID/DH&amp;I TCO of GG</t>
  </si>
  <si>
    <t>Cumulative Development Costs</t>
  </si>
  <si>
    <t>Initial Product Development</t>
  </si>
  <si>
    <t>Requirements</t>
  </si>
  <si>
    <t>Design</t>
  </si>
  <si>
    <t>Test</t>
  </si>
  <si>
    <t>Major Releases</t>
  </si>
  <si>
    <t>Development Infrastructure</t>
  </si>
  <si>
    <t>Community Support</t>
  </si>
  <si>
    <t>Overhead</t>
  </si>
  <si>
    <t>Documentation</t>
  </si>
  <si>
    <t>Training/Academies</t>
  </si>
  <si>
    <t>Hardware</t>
  </si>
  <si>
    <t>Software</t>
  </si>
  <si>
    <t>Project Costs</t>
  </si>
  <si>
    <t>Adaptation</t>
  </si>
  <si>
    <t>Software Customization</t>
  </si>
  <si>
    <t>Localization</t>
  </si>
  <si>
    <t>Deployment</t>
  </si>
  <si>
    <t>Software Licensing</t>
  </si>
  <si>
    <t>Integration</t>
  </si>
  <si>
    <t>Training</t>
  </si>
  <si>
    <t>System Modification</t>
  </si>
  <si>
    <t>Operations</t>
  </si>
  <si>
    <t xml:space="preserve">Equipment Replacement </t>
  </si>
  <si>
    <t>Infrastructure Costs</t>
  </si>
  <si>
    <t>Admin/Helpdesk Support</t>
  </si>
  <si>
    <t>VW</t>
  </si>
  <si>
    <t>Dimagi</t>
  </si>
  <si>
    <t>Project Scoping, Planning and Development</t>
  </si>
  <si>
    <t>CapEx</t>
  </si>
  <si>
    <t>Mobile phones</t>
  </si>
  <si>
    <t>Netbooks for staff</t>
  </si>
  <si>
    <t>OpEx</t>
  </si>
  <si>
    <t>Office expenses (Modem, addtl computer equip)</t>
  </si>
  <si>
    <t>Data plans for staff</t>
  </si>
  <si>
    <t>Salaries/benefits for staff</t>
  </si>
  <si>
    <t>Trainings (new and existing staff)</t>
  </si>
  <si>
    <t>Office internet</t>
  </si>
  <si>
    <t>Admin expenses (electricity, water, rent, supplies, building safety, etc..)</t>
  </si>
  <si>
    <t>PATH Toolkit of IS projects</t>
  </si>
  <si>
    <t>Meetings and admin support</t>
  </si>
  <si>
    <t>Management</t>
  </si>
  <si>
    <t xml:space="preserve">Overall project management </t>
  </si>
  <si>
    <t>Research, monitoring and evaluation</t>
  </si>
  <si>
    <t>Software and interfaces</t>
  </si>
  <si>
    <t>Content, standards and localization</t>
  </si>
  <si>
    <t>Client hardware</t>
  </si>
  <si>
    <t>Data and communication services</t>
  </si>
  <si>
    <t>Server management and hosting</t>
  </si>
  <si>
    <t>Administration and call center support</t>
  </si>
  <si>
    <t>Initial Implementation</t>
  </si>
  <si>
    <t>Project Initiation</t>
  </si>
  <si>
    <t>Software and Hardware Procurement</t>
  </si>
  <si>
    <t>Development</t>
  </si>
  <si>
    <t>Software Development/Customization</t>
  </si>
  <si>
    <t>Go-Live/Deployment</t>
  </si>
  <si>
    <t>Staff</t>
  </si>
  <si>
    <t>Business Process Mapping and Re-engineering</t>
  </si>
  <si>
    <t>Hosting Environment Upgrade</t>
  </si>
  <si>
    <t>Facilities (office space, server room, data center, cooling system, etc)</t>
  </si>
  <si>
    <t>Integration with other systems</t>
  </si>
  <si>
    <t>TCO Sample Calculation (from Alice)</t>
  </si>
  <si>
    <t>Requirements Analysis and Specification</t>
  </si>
  <si>
    <t>Procurement Decisions (if RfP is issued)</t>
  </si>
  <si>
    <t>Solution Design</t>
  </si>
  <si>
    <t>Software and Hardware Procurement and Maintenance</t>
  </si>
  <si>
    <t>Solution Delivery</t>
  </si>
  <si>
    <t>Test/Simulation</t>
  </si>
  <si>
    <t xml:space="preserve">Annual Operation Costs </t>
  </si>
  <si>
    <t>Infrastructure and Maintenance</t>
  </si>
  <si>
    <t>Application Management</t>
  </si>
  <si>
    <t>Unplanned Costs</t>
  </si>
  <si>
    <t>Hardware Upgrades</t>
  </si>
  <si>
    <t>Cost of capital</t>
  </si>
  <si>
    <t>If we want to allow calculation of present value over 5 years</t>
  </si>
  <si>
    <t>License Maintenace and Software Support</t>
  </si>
  <si>
    <t>Infrastructure Software Support</t>
  </si>
  <si>
    <t>Hardware Support</t>
  </si>
  <si>
    <t>Application Monitoring and Optimization</t>
  </si>
  <si>
    <t xml:space="preserve">Communications (Connectivity and Network Costs) </t>
  </si>
  <si>
    <t>Internet Connection</t>
  </si>
  <si>
    <t>SMS Gateway Service</t>
  </si>
  <si>
    <t>Data Management</t>
  </si>
  <si>
    <t>Management Reports and Decision Support</t>
  </si>
  <si>
    <t>Salaries of Dedicated IT Staff</t>
  </si>
  <si>
    <t>Salaries of Overhead Staff</t>
  </si>
  <si>
    <t>Ongoing End-user and Staff Training</t>
  </si>
  <si>
    <t>Turnover/Productivity Loss</t>
  </si>
  <si>
    <t>Response to Security/Data Breaches</t>
  </si>
  <si>
    <t>Unsheduled Maintenance and Outage Recovery Efforts</t>
  </si>
  <si>
    <t>Electrical Power and Backup</t>
  </si>
  <si>
    <t>Develop User-oriented Training Material and Documentation</t>
  </si>
  <si>
    <t>End-user Training</t>
  </si>
  <si>
    <t>Refresher End-user Training</t>
  </si>
  <si>
    <t xml:space="preserve">Additional Role-Specific Trainings </t>
  </si>
  <si>
    <t>Performance and Security Testing</t>
  </si>
  <si>
    <t>Quality Assurance/Testing</t>
  </si>
  <si>
    <t>Equipment Set-up</t>
  </si>
  <si>
    <t>Application License Fees</t>
  </si>
  <si>
    <t>Application Configuration and Setup</t>
  </si>
  <si>
    <t>Storage and Hosting Fees</t>
  </si>
  <si>
    <t>Test Environment</t>
  </si>
  <si>
    <t>Project Administration/Staff Salaries</t>
  </si>
  <si>
    <t xml:space="preserve">Will these be a single tab or multiple (depending on the type of tool)? </t>
  </si>
  <si>
    <t xml:space="preserve">Could guide the user by asking 1) who is the primary user of this tool (central MOH or other national ministry level or subnational government vs. facilities/HCWs), 2) is the implementation plan to scale by end user (number of facilities/HCWs). Is there an option that could include both, for example a national implementation such as HMIS/DHIS2 with last mile deployment of mobile DHIS2 Tracker? Or is the Dimagi tool a "double click" on the VW tool which gives an additional level of costing detail for solutions that scale to end users like providers or CHWs? </t>
  </si>
  <si>
    <t>Plan and Budget</t>
  </si>
  <si>
    <t xml:space="preserve">Align TCO components (phases or CapEx vs OpEx or by year?) </t>
  </si>
  <si>
    <t xml:space="preserve">See Cost category comparison tab. Does it make sense to try to align Dimagi to TCO? Or find a middle path? </t>
  </si>
  <si>
    <t>Capital depreciation/replacement rate</t>
  </si>
  <si>
    <t>Currently identified as "Costs associated with managing the project, typically the costs of project manager role." Could also include transporation (which is included as a separate line item in the TCO), communication, and procurement (contracting, equipment purchase) if reported as a direct cost. Often times included in overhead and not in project costs.</t>
  </si>
  <si>
    <t>CommCare/user scaled implementation - Data inputs</t>
  </si>
  <si>
    <t>May need to refine Operations - Project Management category</t>
  </si>
  <si>
    <t>Should this be for both Deployment/Initial purchase as well as Operations/Replacement? 
May want to more details/guidance on what this means - existing computers/mobiles that will be used/shared, existing internet bandwidth/mobile data that will be used/shared, existing servers/storage devices/routers/backup generators.</t>
  </si>
  <si>
    <t>Option to note whether they are all directly incurred by implementation or not?</t>
  </si>
  <si>
    <t>Update scenario - Equipment/Infrastructure sharing (Yes/No option)</t>
  </si>
  <si>
    <t xml:space="preserve">Can users identify whether this phase needs to be costed (or only parts are needed)? For example, do they need to a needs assessement or not? </t>
  </si>
  <si>
    <t>Could be shared for deployment - software development, integration/interoperability, M&amp;E</t>
  </si>
  <si>
    <t xml:space="preserve">Is integration or interoperability with other health systems planned? This would decrease deployment costs if none planned although ultimately would decrease long term operational costs. Large scale integration and upgrading drives cost (from 3% to 16% of TCO per VW). </t>
  </si>
  <si>
    <t xml:space="preserve">Option to determine if M&amp;E support provided by government or implementing partner (lower if government) or shared if provided by government? </t>
  </si>
  <si>
    <t xml:space="preserve">Could be shared for operations
VW TCO also mentions what level of support (1-3) is provided by government or implementing partner or outside vendor (outside vendor and implementing partner drive up costs) could be 8-24% of TCO based on the model 
Also could out this component more based on whether this is onsite or not, what software is utilized, whether qualified/trained staff are available  </t>
  </si>
  <si>
    <t xml:space="preserve">Align to LMIS cost categories? </t>
  </si>
  <si>
    <t>Type of training (eLearning, classroom-based training, train-the-trainer, on-the-job training) for both initial and recurrent/refresher</t>
  </si>
  <si>
    <t>Server hosting choice</t>
  </si>
  <si>
    <t>Hosting in-house server (local or national data center), hosting off site cloud (local cloud), hosting off site cloud (international distributed cloud).
Hard to tell how this varies, TCO says it drives down infrastructure/equipment replacement costs but increases data connectivity (quantity of data and number of users can increase this).</t>
  </si>
  <si>
    <t>Core Software Platform/Implementation (Build, Buy or Outsource)</t>
  </si>
  <si>
    <t xml:space="preserve">Could include dropdown selection for *primary* model: 1) build application for scratch (custom development, including global goods), 2) buy software package (commercial off the shelf), 3) outsource (SaaS). Would need to build out a logic pathway for how this impacts the other data inputs/cost categories and plan and budget outputs, as well as reference benchmark ? 
Do we have information on how much more expensive a GG is vs. proprietary considering all costs? Will impact whether there is annual licensing cost under operations. </t>
  </si>
  <si>
    <t xml:space="preserve">It is set at 20% for model implementation in TCO, we could pre set here and allow user to adjust if it shoudl be higher/lower based on experience (for example, range could be 10-25%)
Perhaps also include an example (a 10% replacement rate means that on average equipment needs to be replaced every 10 years)? </t>
  </si>
  <si>
    <t>Could add number of facilities requiring internet connectivity/data and voice users</t>
  </si>
  <si>
    <t xml:space="preserve">Type of device (basic phone, smartphone, tablet, desktop, laptop) </t>
  </si>
  <si>
    <t>Project management costs directly related to # of staff/FTE (for example in scoping/project planning; number of M&amp;E/governance/project management staff for operations phase)</t>
  </si>
  <si>
    <t>Update scenarios</t>
  </si>
  <si>
    <t>Need for Project scoping, planning, development phase (Yes/No option)</t>
  </si>
  <si>
    <t>Data/Voice sharing (Yes/No option)</t>
  </si>
  <si>
    <t>Labor Sharing (Yes/No or FTE/% based option)</t>
  </si>
  <si>
    <t>Integration/Interoperability (Yes/No option)</t>
  </si>
  <si>
    <t>M&amp;E Support structure/sharing (Yes/No option or other?)</t>
  </si>
  <si>
    <t xml:space="preserve">Helpdesk structure/sharing (Yes/No option and possible additional elements) </t>
  </si>
  <si>
    <t>Training (dropdown option)</t>
  </si>
  <si>
    <t>Scaling human resource categories</t>
  </si>
  <si>
    <t>Training for end users (Scale)</t>
  </si>
  <si>
    <t>Hardware for end users (Scale and type of device)</t>
  </si>
  <si>
    <t>Infrastructure for connectivity/data and voice  (scale)</t>
  </si>
  <si>
    <t>Add scenarios</t>
  </si>
  <si>
    <t>Refine categories</t>
  </si>
  <si>
    <t xml:space="preserve">Questions </t>
  </si>
  <si>
    <t>Should costs be presented as aggregated or disaggregated over five years?</t>
  </si>
  <si>
    <t xml:space="preserve">Proposed approach and assumptions </t>
  </si>
  <si>
    <t>Tool will include 2 separate budgeting frameworks, one for digital solutions that are aimed at large numbers of last-mile users (e.g., community health workers) versus those tailored toward national-level health system management. These 2 frameworks may be combined into one as the tool gets further developed.</t>
  </si>
  <si>
    <t xml:space="preserve">Dimagi tool aimed at last-mile users will be expanded to include a greater range of costs, including project start up costs. </t>
  </si>
  <si>
    <t>Costs will be presented over 5 years.</t>
  </si>
  <si>
    <t>Should these be two separate tools or a single tool that allows a scaling by end user functionality?</t>
  </si>
  <si>
    <t>Total Cost of Ownership (TCO) Summary</t>
  </si>
  <si>
    <t>The TCO data provides a high-level overview of the 5-Year TCO, CapEx, and OpEx for all countries evaluated in the analysis. A per country summary also provides an overview of implementation characteristics for contextual purposes.</t>
  </si>
  <si>
    <t>Model Implementation</t>
  </si>
  <si>
    <t>Comparator Implementations</t>
  </si>
  <si>
    <t>Reference Implementations</t>
  </si>
  <si>
    <t xml:space="preserve">TOTAL 5-YEAR CAPEX </t>
  </si>
  <si>
    <t>NA</t>
  </si>
  <si>
    <t>CAPEX % OF TCO</t>
  </si>
  <si>
    <t>TOTAL OPEX 5-YEAR</t>
  </si>
  <si>
    <t>OPEX % of TCO</t>
  </si>
  <si>
    <t xml:space="preserve">TOTAL TCO 5-YEAR </t>
  </si>
  <si>
    <t>All costs retrospective and in USD</t>
  </si>
  <si>
    <t xml:space="preserve">Tanzania (MM2) is the model implementation based on an OpenLMIS derivative, eLMIS, which manages the essential medicines supply line.  
The DHI was implemented in 2014, capturing data from 6,000 health facilities, approximately 13,000 health workers, and is considered fully deployed. 
The country reached full deployment by year three. 
The implementing partner is a global north vendor with local subsidiary offices solely dedicated to managing the larger Global Health Supply Chain project, including implementing and managing the DHI. 
The MoH is contributing resources to the project and is currently transitioning ownership to the Ministry.
Costs are based on a combination of initial budgets, actual budgets, primary research interviews, and interviewees' documentation. </t>
  </si>
  <si>
    <t xml:space="preserve">Ethiopia (MM3) is a comparator implementation based on a bespoke solution, mBrana, which manages the vaccine supply line. The DHI was implemented in 2014, to 900 users to manage vaccine stock levels nationally, and is considered fully deployed.
The implementing partner is a global north vendor with local subsidiary offices managing multiple DHI in the country. The MoH is NOT contributing resources to the project.
Costs are based on a combination of actual budgets, primary research interviews, and secondary research.
</t>
  </si>
  <si>
    <t xml:space="preserve">Mozambique (MM1) is a comparator implementation based on an OpenLMIS derivative, eLMIS v3.0, which manages the vaccine supply line.  
The DHI was implemented in 2014, capturing data from 1200 health facilities across 11 provinces and 145 districts with approximately 200 users.
The managing and implementing partner is a global north vendor with local subsidiary offices managing several DHIs. The MoH is contributing resources to the project.
Costs are based on a combination of actual budgets, primary research interviews, and interviewees' documentation. </t>
  </si>
  <si>
    <t>Malawi (MM2) is a reference implementation used for supplemental costing data to the TCO analysis. 
The implementation is based on an OpenLMIS derivative, eLMIS v3.0, which manages the essential medicines supply line.  
The DHI was implemented in 2017, with a go-live in 2018, the solution fully deployed to approximately 650 health facilities that same year. 
The managing partner is a global north vendor, subcontracting to a global north technology partner to implement and manage the solution. The managing partner was unable to share costs data with the research team. 
Costs reflect the technical partner’s contributions of human resources and project overhead to implement, support, and maintain the DHI. 
The technology partner does NOT have local subsidiary offices.   
Costs are based on a combination of actual budgets and primary research interviews.</t>
  </si>
  <si>
    <t>Zambia (MM2) is a reference implementation used for supplemental costing data to the TCO analysis. 
The implementation is based on an OpenLMIS derivative, which manages the essential medicines, ARV, HIV testing, and laboratory commodities supply lines.  
The DHI was implemented in 2014; the solution fully deployed to approximately 580 high-volume health facilities during Years 1-5, covering 70-80% of the population. 
The implementing partner is a global north vendor with local subsidiary offices solely dedicated to managing the larger Global Health Supply Chain project, including implementing and managing the DHI. 
The MoH is contributing resources to the project.
No CapEx (Phase I – III) costs are captured. Costs are based on a combination of actual budgets, primary research interviews, and secondary research.</t>
  </si>
  <si>
    <t>CONFIDENTIAL</t>
  </si>
  <si>
    <t>Project Phase</t>
  </si>
  <si>
    <t>Cost Category</t>
  </si>
  <si>
    <t>One Time Costs + Year 1</t>
  </si>
  <si>
    <t xml:space="preserve">Year 5 </t>
  </si>
  <si>
    <t>Total 5 Year TCO</t>
  </si>
  <si>
    <t>Shared Resources</t>
  </si>
  <si>
    <t>Landscaping to assess the current state and enabling regulatory environment). Assess integration, migration, and reporting requirements. Conduct business process analysis, data modeling, site and server assessment. Document landscaping, needs assessment, and requirements specifications</t>
  </si>
  <si>
    <t>Subtotal Project Scoping, Planning, and Development</t>
  </si>
  <si>
    <t>II. Deployment Phase</t>
  </si>
  <si>
    <t>X</t>
  </si>
  <si>
    <t>Subtotal Deployment</t>
  </si>
  <si>
    <t xml:space="preserve">III. Scaling Phase </t>
  </si>
  <si>
    <t>Subtotal Project Scaling Phase</t>
  </si>
  <si>
    <t>Total CapEx</t>
  </si>
  <si>
    <t>Subtotal Annual OpEx</t>
  </si>
  <si>
    <t>% of TCO</t>
  </si>
  <si>
    <t>Total 5 year Cost</t>
  </si>
  <si>
    <t xml:space="preserve">Will want to think through how to generalize this. Could this be generalizable to other types of DH implementations? If a certain phase is already done/covered separately (for example, project scoping), how does that affect the benchmark?
Could also have a note/guidance on ROI or cost/user/beneficiary? </t>
  </si>
  <si>
    <t xml:space="preserve">How can this tool be most useful to end users of the tool (country governments, implementers, etc)?  </t>
  </si>
  <si>
    <t>What is the budget process/approach and how would this tool support that process?</t>
  </si>
  <si>
    <t xml:space="preserve">What decisions that governments/implementers need to make would drive use of this tool? </t>
  </si>
  <si>
    <t>DIIG</t>
  </si>
  <si>
    <t>Development and Setup</t>
  </si>
  <si>
    <t>Scale</t>
  </si>
  <si>
    <t>Sustained Operations</t>
  </si>
  <si>
    <t>Ongoing/All Phases</t>
  </si>
  <si>
    <t>Management and Staffing</t>
  </si>
  <si>
    <t>Application Installation and Configuration</t>
  </si>
  <si>
    <t>Interoperability with Other Systems</t>
  </si>
  <si>
    <t>End-User Testing</t>
  </si>
  <si>
    <t>Data Connectivity and Power</t>
  </si>
  <si>
    <t>Roll-out</t>
  </si>
  <si>
    <t>Data Collection and Use</t>
  </si>
  <si>
    <t>Voice and Data Services</t>
  </si>
  <si>
    <t>Hardware Maintenance</t>
  </si>
  <si>
    <t>Subscriptions</t>
  </si>
  <si>
    <t>Software Maintenance</t>
  </si>
  <si>
    <t>Refresher Trainings</t>
  </si>
  <si>
    <t>M&amp;E and Data Use Activities</t>
  </si>
  <si>
    <t>Sharing Learnings</t>
  </si>
  <si>
    <t>Add suggested source</t>
  </si>
  <si>
    <t xml:space="preserve">For information/reference on data inputs </t>
  </si>
  <si>
    <t>Reference to VW document 
Instead of having dropdown, could have notes next to each with data points (rather than yes/no, for example)</t>
  </si>
  <si>
    <t>Align cost categories</t>
  </si>
  <si>
    <t>What cost categories would resonate most with end users?</t>
  </si>
  <si>
    <t xml:space="preserve">How relevant is guidance/costing breakdown that takes into account cost sharing (for example, by different government departments)? </t>
  </si>
  <si>
    <t>Different benchmarking options</t>
  </si>
  <si>
    <t>Different graph/bar chart showing cost breakdown with different cost structures</t>
  </si>
  <si>
    <t>For example, show one most with a certain type of training protocol vs. one with a different protocol or one with project initiation costs excluded</t>
  </si>
  <si>
    <t xml:space="preserve">The general cost categories will be: Development, Deployment, Operations. These could be changed based on feedback on what resonates most with end users. </t>
  </si>
  <si>
    <t>Can we extrapolate the cost structure and cost breakdown beyond LMIS reference case to other digital health solutions? See graph below.</t>
  </si>
  <si>
    <t>Phase I: Development</t>
  </si>
  <si>
    <t xml:space="preserve">Phase II: Deployment </t>
  </si>
  <si>
    <t xml:space="preserve">Phase III: Operations </t>
  </si>
  <si>
    <t>I. Development Phase</t>
  </si>
  <si>
    <t>Potential up front questions to guide tool logic</t>
  </si>
  <si>
    <t xml:space="preserve">Who is the primary user of this tool? </t>
  </si>
  <si>
    <t xml:space="preserve">What is the primary core software platform model? </t>
  </si>
  <si>
    <t>Options: 1) Custom-Developed Software, 2) Commercial Off-the-Shelf Software, 3) Free Packaged Software, 4) Open Source Software, 5) Software as a Service (SaaS)</t>
  </si>
  <si>
    <t xml:space="preserve">What is the primary server hosting model? </t>
  </si>
  <si>
    <t>Options: 1) Hosting server in-house (local or national data center), 2) Hosting in local cloud, 3) Hosting in international distributed cloud</t>
  </si>
  <si>
    <t>Is the implementation of the solution planned for scaling by end user (number of facilities, healthcare worker or client)?</t>
  </si>
  <si>
    <t>Does the implementation require costing for project initation (scoping and planning for implementation)?</t>
  </si>
  <si>
    <t>Option: Yes/No</t>
  </si>
  <si>
    <t>Options: Yes/No</t>
  </si>
  <si>
    <t>Will any labor costs be shared across other projects?</t>
  </si>
  <si>
    <t>Will any helpdesk/IT support costs be shared across other projects?</t>
  </si>
  <si>
    <t>Will any hardware (computers, mobile devices, etc) costs be shared across other projects?</t>
  </si>
  <si>
    <t>Will any infrastructure (electricity, data center hosting, and connectivity) costs be shared across other projects?</t>
  </si>
  <si>
    <t>Is large scale integration planned with other health information systems?</t>
  </si>
  <si>
    <t>What type of intial training is planned for the digital solution?</t>
  </si>
  <si>
    <t>Options: 1) eLearning, 2) classroom-based training, 3) train-the-trainer, 4) on-the-job training</t>
  </si>
  <si>
    <t>What type of recurrent/refresher training is planned for the digital solution?</t>
  </si>
  <si>
    <t>Optional additional questions to guide tool logic</t>
  </si>
  <si>
    <r>
      <t xml:space="preserve">For digital solutions </t>
    </r>
    <r>
      <rPr>
        <u/>
        <sz val="11"/>
        <color theme="1"/>
        <rFont val="Calibri"/>
        <family val="2"/>
        <scheme val="minor"/>
      </rPr>
      <t>aimed at a large number of last mile users,</t>
    </r>
    <r>
      <rPr>
        <sz val="11"/>
        <color theme="1"/>
        <rFont val="Calibri"/>
        <family val="2"/>
        <scheme val="minor"/>
      </rPr>
      <t xml:space="preserve"> this could include: client applications/client communication systems, community-based information systems, HCW decision support systems, learning and training systems</t>
    </r>
  </si>
  <si>
    <r>
      <t xml:space="preserve">For digital solutions </t>
    </r>
    <r>
      <rPr>
        <u/>
        <sz val="11"/>
        <color theme="1"/>
        <rFont val="Calibri"/>
        <family val="2"/>
        <scheme val="minor"/>
      </rPr>
      <t>tailored toward national-level health system management</t>
    </r>
    <r>
      <rPr>
        <sz val="11"/>
        <color theme="1"/>
        <rFont val="Calibri"/>
        <family val="2"/>
        <scheme val="minor"/>
      </rPr>
      <t>, this could include: civil registration and vital statistics systems, facility management information system, health management information system, immunization registry system, laboratory and diagnostics information system, public health and disease surveillance system</t>
    </r>
  </si>
  <si>
    <t>III. Operational Phase</t>
  </si>
  <si>
    <t xml:space="preserve">Are there specific digital solutions that are of interest? </t>
  </si>
  <si>
    <t xml:space="preserve">Are there specific aspects of digital health implementations that are difficult to budget for? </t>
  </si>
  <si>
    <t>For example: Capital Expenditure (CapEx) vs. Operational Expenditure (OpEx), Recurring vs. Startup/Up-Front/Continuous costs, Development/Deployment/Operations</t>
  </si>
  <si>
    <t xml:space="preserve">Resources to be shared with users </t>
  </si>
  <si>
    <t xml:space="preserve">Understanding the Total Cost of Ownership for Digital Health (Digital Square &amp; Vital Wave) </t>
  </si>
  <si>
    <t xml:space="preserve">Global Goods Guidebook (Digital Square) - for guidance on open source digital public goods </t>
  </si>
  <si>
    <t>Digital Implementation Investigation Guide (WHO)</t>
  </si>
  <si>
    <t xml:space="preserve">How to Calculate Total Lifetime Costs of Enterprise Software Solutions (Digital Principles) </t>
  </si>
  <si>
    <t>What publicly available resources could we share with users to help guide them in costing for each of these categories?</t>
  </si>
  <si>
    <t>Source</t>
  </si>
  <si>
    <t>Implementation</t>
  </si>
  <si>
    <t xml:space="preserve">Development Cost </t>
  </si>
  <si>
    <t>Deployment Cost</t>
  </si>
  <si>
    <t>TCO</t>
  </si>
  <si>
    <t>LMIS</t>
  </si>
  <si>
    <t>Mobile FLW/community-based information tool</t>
  </si>
  <si>
    <t>India</t>
  </si>
  <si>
    <t>Separated by CapEx and OpEx but CapEx costs (tablets/phones, vaccine site expenses) are incurred annually so I added them to OpEx costs. Data appears to be from 2012.</t>
  </si>
  <si>
    <t>Vaccine FLW/community-based information tool</t>
  </si>
  <si>
    <t>Alice</t>
  </si>
  <si>
    <t>Client communication system</t>
  </si>
  <si>
    <t>Based on Saas model and excludes certain up front costs (i.e. project scoping, RFP, etc)</t>
  </si>
  <si>
    <t>USAID/BCG</t>
  </si>
  <si>
    <t>EMR</t>
  </si>
  <si>
    <t>Kenya</t>
  </si>
  <si>
    <t>PATH</t>
  </si>
  <si>
    <t>Typical information system</t>
  </si>
  <si>
    <t>Separated by CapEx and OpEx but CapEx costs (tablets/phones, vaccine site expenses) are incurred annually so I added them to OpEx costs. Costs incurred over 2 years.</t>
  </si>
  <si>
    <t>Unclear where these costs come from. Specific costs hard to determine (data shared as a graph) so cost estimates are ROUGH. Costs were broken up as Develop, Deploy, Run and separated into 3 phases that were 3 years each (Pilot, Scale, Run) so costs run over 9 years.</t>
  </si>
  <si>
    <t>PATH DUP</t>
  </si>
  <si>
    <t>With clinical decision support, longitudinal tracking and record keeping, revenue collection, informal sector insurance management, stock management, reporting on primary healthcare management. Costs incurred over 6 years (3 years to test, 3 years to rollout)</t>
  </si>
  <si>
    <t>Test: Develop requirements for an integrated suite of software tools, review existing electronic tools to produce a "way forward" report, develop/enhance/adapt existing software tools based on identified gaps and requirements.</t>
  </si>
  <si>
    <t>Rollout: provide support and guidance to users on how to use software tools and resulting data, train primary health care workers on how to use software tools and resulting data, sustainability and ownership plan, provide support and guidance to district-level primary-care computerization advisors.</t>
  </si>
  <si>
    <t>Test: Procure hardware, data bundles, and associated maintenance services for primary health facilities and test software solution within primary health care in three districts, including training. 
Also included from rollout phase: Enhance 'how-to-computeriseprimary health care' guidelines, recruit and train national coordinators, facilitate discussions between ministries and private sector about connectivity expansion, recruit and train district-level primary health care computerization advisors, procure and distribute hardware/data bundles/hardware insurance.</t>
  </si>
  <si>
    <t>Investment appears to have very little operational cost since hospitals choose own software and focus of investment is on developing a “how-to-computerise” guide for hospitals, establishing standards/guidelines and an accreditation mechanism for HIS, and training and supporting hospitals with software support. Investment covers 3 years.</t>
  </si>
  <si>
    <t>Support provided from regional hospital computerization advisors to hospitals to select vendors, negotiate software support and maintenance, drive implementation, manage contracts, etc reoccurring over the course of 3 years.</t>
  </si>
  <si>
    <t>Enhance hospital systems standards and guidelines, develop a “how-to-computerise” guide for hospitals, establish and implement an accreditation mechanism to review hospital systems on the market to ensure they meet developed standards and guidelines, facilitate discussions on business models for mobile and electronic payments</t>
  </si>
  <si>
    <t>Trainings (regional hospital computerisation advisors, facility management on hospital computerisation management, and hospital staff on basic computer skills and new software), provide hospitals with hardware/networking/connectivity/infrastructure maintenance contracts (most hospitals didn't have electronic systems in place), support rollout of computerization guide and coordination with partners to establish connectivity and networking expansion</t>
  </si>
  <si>
    <t>Computerize hospital data (EMR, health finance and information system)</t>
  </si>
  <si>
    <t>Integrated software solution for PHCs and CHWs (community bsed information system, clinical decision support, LMIS)</t>
  </si>
  <si>
    <t>Review guidelines/policies/processes and produce harmonzied guideliens for peformance management/supervision, develop requirements for tools, develop tool</t>
  </si>
  <si>
    <t>Configuration of centralized HMIS to incorporate tool data, enhancing existing planning/budgeting tool (PlanRep) to schedule assessments, training national and district personnel in procedure and tools, procuring hardware.</t>
  </si>
  <si>
    <t>Implement systems for client feedback management (client communication systems)</t>
  </si>
  <si>
    <t>Investment appears to have very little operational cost since focus is on development/deployment. Investment covers 2 years.</t>
  </si>
  <si>
    <t>Develop guideline/strategy for feedback collection, develop USSD/SMS feedback tool and liase with mobile-network operators</t>
  </si>
  <si>
    <t>Support and train national feedback processing team, develop/launch campaign for public, socialize feedback system through national launch event and district meetings, develop sustainability/ownership plan</t>
  </si>
  <si>
    <t>Strengthen systems for facility performance management and supervision (facility management information system)</t>
  </si>
  <si>
    <t>Implement at health and social services workers rgistry (HRIS, Identification registries and directories)</t>
  </si>
  <si>
    <t>Provide ongoing review, maintenance, and user support and communications.</t>
  </si>
  <si>
    <t>Investment appears to have no operational cost since focus is on development/deployment. Investment covers 2 years.</t>
  </si>
  <si>
    <t>Investment appears to have no operational cost since focus is on development/deployment. Investment covers 1.5 years.</t>
  </si>
  <si>
    <t>Develop business requirements and governance processes, devleop workforce registry software and set of API/interoperability with other systems</t>
  </si>
  <si>
    <t>Train national and district data users/training facilitators, launch and socialize workforce registry, train software developers with how to link existing systems to registry, develop a sustainability plan</t>
  </si>
  <si>
    <t>Based on global good implementation. Agile development process spreads costs into future, which had a large impact on where and when costs are incurred. Released bare bones EMR in 1st year, then had significant subsequent development through year 5. "System Modifications" cost were incurred annually over the 5 years (and estimated to be 7 times adaptation costs) so these were added to the Operations Cost in this calculation. Originally what was labeled as "Operations Cost" were only 15% of TCO ($230,000) but only included replacement of initial equipment, internet  (site + central), central IT admins, implementing team, helpdesk.</t>
  </si>
  <si>
    <t xml:space="preserve">Tanzania </t>
  </si>
  <si>
    <t>Investment appears to have very little operational cost since focus is on enhancing logistics systems and development/deployment. Investment covers 2 years.</t>
  </si>
  <si>
    <t>Ongoing review, maintenance, and user support</t>
  </si>
  <si>
    <t>Develop eClaims standards</t>
  </si>
  <si>
    <t>Launch and socialize eClaims standards, familiarize software developers of systemswith how to operationalize standards, develop governance structure</t>
  </si>
  <si>
    <t>Investment appears to have no operational cost since focus is on enhancing current system. Investment covers 3 years.</t>
  </si>
  <si>
    <t>Develop HMIS data policy and data transfer guideliens for centralized HMIS, review/update/standardize HMIS indciators and reports, integrate vertical programs into HMIS, and review rules for data quality checks.</t>
  </si>
  <si>
    <t>Further develop/configure HMIS (revising forms, mobile reporting features, developing more dashboards and aanalysis), facilitate data transfer from existing systems to centralized HMIS, train national users/district users/facility staff</t>
  </si>
  <si>
    <t>Develop supply chain system strategy, detailed requirements for further development linking supply chain systems</t>
  </si>
  <si>
    <t>Train district users, enhance features of existing supply chain data systems</t>
  </si>
  <si>
    <t>Institute data use practices and capacity</t>
  </si>
  <si>
    <t>Monitor the compliance  with the updated data use curricula (M&amp;E), conduct an assessment of roll out and uptake of toolkit/assess how data use best practices are included in new policies at national level/assess trends in political leadership for data use, conduct refresher trainings and routine update of health worker training curriculum, dissemination by data use champions (speaking opportunities for champions or potential at community workshops)</t>
  </si>
  <si>
    <t>Asssess job descriptions in roles that should be primary data users/provide recommendations on revisions, enhance existing skill-development tools and resources to include data use practices, review and strengthen data use practices in pre-service and in-service training curricula, socialize data use toolkit/health data governance structure with policymakers/national leaders/facilitators, conduct meetings and other outreach to prospective datause champions, train regional/district leaders/HMIS leads/statisticians on the datause toolkit, identify and contract with training institutions to organise in-service trainings for health workers</t>
  </si>
  <si>
    <t>Investment not focused on implementing a specific digital health tool/system, but rather on capacity building and implementation. Development costs low since no requirement for system development (use data use toolkit as a proxy for software). Scaling and initial implementation is the most signficant piece. Investment covers 4 years.</t>
  </si>
  <si>
    <t>Develop a data use toolkit (withguidelines and change management practices) for all levels of the health system, coordinate leadership of the health data governance structure</t>
  </si>
  <si>
    <t>Investment appears to have very little operational or development cost since focus is on enhancing and scaling existing eIDSR. Investment covers 1.5 years.</t>
  </si>
  <si>
    <t>Review eIDSR performance in ten regions to identify gaps (project scoping)</t>
  </si>
  <si>
    <t>Enhance eIDSR design to address identified gaps, roll out the revised eIDSR in the remaining  15 regions</t>
  </si>
  <si>
    <t xml:space="preserve">Conduct top up/refresher trainings in existing 10 regions with eIDSR. **costs not disaggregated between initial (rollout) and referesher trainings. Assumption of cost breakdown: 1/3 of total cost across all trainings based on per diem costing for trainings with 2 days of training for rollout training and 1 day for refresher training. Costing information split # of trainings equally between rollout and refresher trainings, 100 each for a total of 200 trainings conducted. </t>
  </si>
  <si>
    <t>Enhance systems for management of supply chain data (LMIS)</t>
  </si>
  <si>
    <t>Develop standards for health insurance eClaims (Health finance and insurance information system)</t>
  </si>
  <si>
    <t>Improve HMIS indicators and reporting (HMIS)</t>
  </si>
  <si>
    <t>Enhance and scale notifiable disease surveillance (public health and disease surveillance system)</t>
  </si>
  <si>
    <t>Implement notification systems for birth and  death recording (civil registration and vital statistics)</t>
  </si>
  <si>
    <t>Develop requirements for applications for birth and death notifications (legal birth registration system/village registries/client registry), develop or enhance  apps  for birth and death notification</t>
  </si>
  <si>
    <t xml:space="preserve">Train district facilitators and community leaders on use of applications </t>
  </si>
  <si>
    <t>Investment appears to have no operational cost since focus is on implemeting new notification system. Investment covers 2 years.</t>
  </si>
  <si>
    <t>Enhance government coordination of data systems and use initiatives (Knowledge management system)</t>
  </si>
  <si>
    <t>Investment appears to have no operational cost since focus is on development/deployment. Investment also focused on data systems and use more broadly (with development of a system for data system inventory and digital library). Investment covers 6 months.</t>
  </si>
  <si>
    <t xml:space="preserve">Develop project implementation guidelines for partners working in data systems and use, </t>
  </si>
  <si>
    <t>Improve MOHCDGEC/PORALG website to incorporate a systems inventory, enhance the digital library on the website to ensure policies/legislation/guidelines are accessibl, design and implement mechanisms to keep inventory/library up to date, review the roles of working groups/committees to avoid duplication/ improve coordination.</t>
  </si>
  <si>
    <t>Put in place an enterprise architecture, including governance, guidelines, and standards for interoperability (Data interchange interoperability and accessibility)</t>
  </si>
  <si>
    <t>Facilitate the upgrade of existing systems to make them interoperable</t>
  </si>
  <si>
    <t>Develop a national eHealth architecture framework, establish national interoperability layer/health information mediator services</t>
  </si>
  <si>
    <t>Implement a client registry (Shared Health Record and health information respositories)</t>
  </si>
  <si>
    <t>Developrequirements and business and governance processes for a client registry, develop client registry system</t>
  </si>
  <si>
    <t>Train MOHCDGEC staff, support dedicated data administrationand de-duplication staff for the first year, familiarize software developers with how to connect their systems to the client registry, support the connection of existing systems with the client registry</t>
  </si>
  <si>
    <t>Perform ongoing review/maintenance/user support, develop a plan for sustainability and ownership of the system</t>
  </si>
  <si>
    <t xml:space="preserve">Develop/adopt/harmonise standards and coding systems for referencing supplies/diagnoses/procedures, develop requirements for a terminology registry, develop a terminology registry and API </t>
  </si>
  <si>
    <t>Train users, familiarize software developers with how to use terminology service</t>
  </si>
  <si>
    <t>Implement a terminology service (Clinical terminology and classifications)</t>
  </si>
  <si>
    <t>Develop a governance structure to manage administrative-area data, develop requirements for the administrative-area registry, develop software for an administrative-area registry.</t>
  </si>
  <si>
    <t>Implement an administrative area registry (Identification registriesand directories, Geographic information system)</t>
  </si>
  <si>
    <t>Train users, launch and socialize admin-area registry, familiarize software developers with using the service (including shape files for mapping in their systems)</t>
  </si>
  <si>
    <t>Implement a health data warehouse to house data from all relevant sources (Census, population information &amp; data warehouse)</t>
  </si>
  <si>
    <t>Investment appears to have very little operational cost since focus is on development/deployment. Investment covers 2.5 years.</t>
  </si>
  <si>
    <t>Build on existing requirements (further specifying key users, data needs, identifying data sources), develop or adapt the data warehouse</t>
  </si>
  <si>
    <t>Train users (national, regional and district) of the data warehouse</t>
  </si>
  <si>
    <t>Reference cost</t>
  </si>
  <si>
    <t>Input cost</t>
  </si>
  <si>
    <t>Benchmarking</t>
  </si>
  <si>
    <t>Subtotal</t>
  </si>
  <si>
    <t>Total Startup (Capital) Costs</t>
  </si>
  <si>
    <t xml:space="preserve">Total 5 Year Cost Of Ownership </t>
  </si>
  <si>
    <t>Note: The discount rate is used to calculate present value of the implementation over five years. A 3% annual discount rate is consistent with global health evaluations, but another rate can be selected.</t>
  </si>
  <si>
    <t>Scope of Implementation</t>
  </si>
  <si>
    <t>Custom-Developed Software</t>
  </si>
  <si>
    <t>Commercial Off-the-Shelf Software</t>
  </si>
  <si>
    <t>Free Packaged Software</t>
  </si>
  <si>
    <t>Open Source Software</t>
  </si>
  <si>
    <t>Software as a Service (SaaS)</t>
  </si>
  <si>
    <t>OR could simply as whether the digital solution is aimed at large numbers of last-mile users (e.g., community health workers) or tailored toward national-level health system management?</t>
  </si>
  <si>
    <t>Health facilities or health care workers</t>
  </si>
  <si>
    <t>Patients</t>
  </si>
  <si>
    <t>Is the implementation of the solution planned for scaling by end user (number of facilities, healthcare worker or client)? (Enter "Yes" or "No")</t>
  </si>
  <si>
    <t>Please answer the following questions</t>
  </si>
  <si>
    <t>Central national or subnational government</t>
  </si>
  <si>
    <t>Development costs</t>
  </si>
  <si>
    <t xml:space="preserve">Note: Entry should be a number. </t>
  </si>
  <si>
    <t>Deployment costs</t>
  </si>
  <si>
    <t xml:space="preserve">Total costs per year </t>
  </si>
  <si>
    <t xml:space="preserve">Total costs </t>
  </si>
  <si>
    <t>Note: Includes initial configuration of settings and user accounts and data configuration (migration of data and setup of custom schemes and/or data types).</t>
  </si>
  <si>
    <t>eLearning</t>
  </si>
  <si>
    <t>Classroom-based training</t>
  </si>
  <si>
    <t>On-the-job training</t>
  </si>
  <si>
    <t>Note: Includes centralized capital equipment (e.g., servers, storage devices, developer and program manager laptops, routers, switches), distributed equipment (e.g., desktops, tablets, mobile phones for frontline health workers), security equipment (e.g., secure boxes, locks, other equipment to secure devices), redundancy and disaster recovery (e.g., additional costs or backup equipment).</t>
  </si>
  <si>
    <t>Operations costs</t>
  </si>
  <si>
    <t>Who is the primary user of the digital health implementation solution? (select from dropdown)</t>
  </si>
  <si>
    <t>DRAFT</t>
  </si>
  <si>
    <r>
      <t>Enter the annual discount rate</t>
    </r>
    <r>
      <rPr>
        <i/>
        <sz val="11"/>
        <rFont val="Calibri"/>
        <family val="2"/>
        <scheme val="minor"/>
      </rPr>
      <t xml:space="preserve"> </t>
    </r>
    <r>
      <rPr>
        <sz val="11"/>
        <rFont val="Calibri"/>
        <family val="2"/>
        <scheme val="minor"/>
      </rPr>
      <t>(assumed to be 3%)</t>
    </r>
  </si>
  <si>
    <r>
      <t>Enter capital depreciation/replacement rate for equipment and hardware</t>
    </r>
    <r>
      <rPr>
        <i/>
        <sz val="11"/>
        <rFont val="Calibri"/>
        <family val="2"/>
        <scheme val="minor"/>
      </rPr>
      <t xml:space="preserve"> </t>
    </r>
    <r>
      <rPr>
        <sz val="11"/>
        <rFont val="Calibri"/>
        <family val="2"/>
        <scheme val="minor"/>
      </rPr>
      <t>(assumed to be 20%)</t>
    </r>
  </si>
  <si>
    <t>Note: Includes capital expenditures associated with deploying the solution to a set number of locations. Deployment costs are typically characterized as “startup” costs, although the actual deployment activity may occur over multiple years (typically the length of the implementation contract term) as the system is scaled. Cost categories include one-time costs for equipment (e.g., laptops, phones), infrastructure (e.g., backup generators, hosting, internet connectivity, power), new deployment training, implementation services, further interoperability updates and system integrations, and further software development to address issues and change requests encountered during the deployment time period.</t>
  </si>
  <si>
    <t>Note: Using existing desktop computers available in health facilities or government agencies is feasible and reduces deployment costs.</t>
  </si>
  <si>
    <t>Note: Include electricity, data center hosting, and connectivity (e.g., internet access, SMS costs), generators or solar charges.</t>
  </si>
  <si>
    <t xml:space="preserve">Note: Includes labor for communication and standards compliance between systems and configuration. </t>
  </si>
  <si>
    <t>Note: Labor of software staff for communication and standards compliance between systems and configuration. Integration and interoperability costs may also occur during initial software development or in the operational phase during maintenance and testing. If the software is not capable of communicating with existing software, adaptation is covered under software customization.</t>
  </si>
  <si>
    <t xml:space="preserve">Note: Includes development of a training framework, Standard Operating Procedure (SOP), training curriculum and material, eLearning platform, and a train-the-trainers program, as applicable. </t>
  </si>
  <si>
    <t xml:space="preserve">Needs Assessment and Requirements Specifications </t>
  </si>
  <si>
    <t xml:space="preserve">Note: May include labor, travel, facility rentals, and per diems for trainers and trainees. Typical requirements: 1 facilitator should be present for every 20 participants assumed. Costs should factor in number of training days, number of attendees, and location of training. The type of device utilized for the implementation (mobile, tablet or desktop computer) may impact training costs. Training for mobile device systems may incur lower costs if users are familiar with similar mobile applications for other activities. </t>
  </si>
  <si>
    <t xml:space="preserve">User Guide </t>
  </si>
  <si>
    <t>Scope of TCO Tool</t>
  </si>
  <si>
    <t xml:space="preserve">Key Considerations and Limitations </t>
  </si>
  <si>
    <t>Data Sources</t>
  </si>
  <si>
    <t>Glossary of Terms</t>
  </si>
  <si>
    <t xml:space="preserve">Contact Information </t>
  </si>
  <si>
    <t>TCO Overview and Process</t>
  </si>
  <si>
    <t xml:space="preserve">This TCO Tool includes data collected from a variety of data sources, including: </t>
  </si>
  <si>
    <t xml:space="preserve">•  The TCO covers a 5-year implementation and budget timeline. </t>
  </si>
  <si>
    <t>•  Secondary research on digital health interventions and associate costs and cost categories.</t>
  </si>
  <si>
    <t>Note: Includes ongoing costs to replace equipment as it becomes obsolete or non-functional. Can be estimated based on expected useful life.</t>
  </si>
  <si>
    <t>Infrastructure Replacement</t>
  </si>
  <si>
    <t>Note: Includes ongoing costs to replace infrastructure as it becomes obsolete or non-functional (electricity, data center hosting, and connectivity). Can be estimated based on expected useful life.</t>
  </si>
  <si>
    <t xml:space="preserve">Note: Includes recurring software licensing costs. </t>
  </si>
  <si>
    <t>Note: Transfer of ownership costs may not be applicable to all DHIs.</t>
  </si>
  <si>
    <t>Note: Costs usually cover the labor for a project manager role.</t>
  </si>
  <si>
    <t xml:space="preserve">Note: Includes cost associated with ongoing management of the project. </t>
  </si>
  <si>
    <t>Note: Includes ad hoc and routine transportation and communications between core staff for project management and execution.</t>
  </si>
  <si>
    <t xml:space="preserve">Note: Typical requirements: 2  days/month for 1 - 2 FTE. Depends on scale of deployment. </t>
  </si>
  <si>
    <t xml:space="preserve">Monitoring &amp; Evaluation </t>
  </si>
  <si>
    <t xml:space="preserve">Note: Includes monitoring and evaluating program efficacy and impact. </t>
  </si>
  <si>
    <t>Note: Includes contracting, including identifying requirements, creating RFP, evaluating RFP, and contract negotiation with software implementers and hardware vendors.</t>
  </si>
  <si>
    <t xml:space="preserve">Note: Includes cost associated with labor (programmatic, technical, and admistrative), travel for meetings and workshops, and organizational overhead. Exclude any labor costs associated with needs assessment or software development activities.  </t>
  </si>
  <si>
    <r>
      <rPr>
        <sz val="11"/>
        <rFont val="Calibri"/>
        <family val="2"/>
        <scheme val="minor"/>
      </rPr>
      <t xml:space="preserve">•  </t>
    </r>
    <r>
      <rPr>
        <u/>
        <sz val="11"/>
        <color theme="10"/>
        <rFont val="Calibri"/>
        <family val="2"/>
        <scheme val="minor"/>
      </rPr>
      <t>Digital Implementation Investment Guide (DIIG): Integrating Digital Interventions into Health Programmes</t>
    </r>
    <r>
      <rPr>
        <sz val="11"/>
        <rFont val="Calibri"/>
        <family val="2"/>
        <scheme val="minor"/>
      </rPr>
      <t>, a reference document published by WHO as a practical guide for countries to develop a costed implementation plan for digital health.</t>
    </r>
  </si>
  <si>
    <t xml:space="preserve">•  Feedback from country-level users, implementers, technical consultants, digital health advisors. </t>
  </si>
  <si>
    <t>Market Segment Maturity</t>
  </si>
  <si>
    <t>Afghanistan</t>
  </si>
  <si>
    <t>Albania</t>
  </si>
  <si>
    <t>Algeria</t>
  </si>
  <si>
    <t>American Samoa</t>
  </si>
  <si>
    <t>Angola</t>
  </si>
  <si>
    <t>Antigua and Barbuda</t>
  </si>
  <si>
    <t>Argentina</t>
  </si>
  <si>
    <t>Armenia</t>
  </si>
  <si>
    <t>Aruba</t>
  </si>
  <si>
    <t>Azerbaijan</t>
  </si>
  <si>
    <t>Bahamas, The</t>
  </si>
  <si>
    <t>Belarus</t>
  </si>
  <si>
    <t>Belize</t>
  </si>
  <si>
    <t>Benin</t>
  </si>
  <si>
    <t>Bhutan</t>
  </si>
  <si>
    <t>Bolivia</t>
  </si>
  <si>
    <t>Bosnia and Herzegovina</t>
  </si>
  <si>
    <t>Botswana</t>
  </si>
  <si>
    <t>Brazil</t>
  </si>
  <si>
    <t>British Virgin Islands</t>
  </si>
  <si>
    <t>Bulgaria</t>
  </si>
  <si>
    <t>Burkina Faso</t>
  </si>
  <si>
    <t>Burundi</t>
  </si>
  <si>
    <t>Cabo Verde</t>
  </si>
  <si>
    <t>Cambodia</t>
  </si>
  <si>
    <t>Cameroon</t>
  </si>
  <si>
    <t>Cayman Islands</t>
  </si>
  <si>
    <t>Central African Republic</t>
  </si>
  <si>
    <t>Chad</t>
  </si>
  <si>
    <t>Chile</t>
  </si>
  <si>
    <t>China</t>
  </si>
  <si>
    <t>Colombia</t>
  </si>
  <si>
    <t>Comoros</t>
  </si>
  <si>
    <t>Congo, Dem. Rep.</t>
  </si>
  <si>
    <t>Congo, Rep.</t>
  </si>
  <si>
    <t>Costa Rica</t>
  </si>
  <si>
    <t>Côte d'Ivoire</t>
  </si>
  <si>
    <t>Croatia</t>
  </si>
  <si>
    <t>Cuba</t>
  </si>
  <si>
    <t>Curaçao</t>
  </si>
  <si>
    <t>Djibouti</t>
  </si>
  <si>
    <t>Dominica</t>
  </si>
  <si>
    <t>Dominican Republic</t>
  </si>
  <si>
    <t>Ecuador</t>
  </si>
  <si>
    <t>Egypt, Arab Rep.</t>
  </si>
  <si>
    <t>El Salvador</t>
  </si>
  <si>
    <t>Equatorial Guinea</t>
  </si>
  <si>
    <t>Eritrea</t>
  </si>
  <si>
    <t>Eswatini</t>
  </si>
  <si>
    <t>Fiji</t>
  </si>
  <si>
    <t>Gabon</t>
  </si>
  <si>
    <t>Gambia, The</t>
  </si>
  <si>
    <t>Georgia</t>
  </si>
  <si>
    <t>Ghana</t>
  </si>
  <si>
    <t>Greece</t>
  </si>
  <si>
    <t>Grenada</t>
  </si>
  <si>
    <t>Guatemala</t>
  </si>
  <si>
    <t>Guinea</t>
  </si>
  <si>
    <t>Guinea-Bissau</t>
  </si>
  <si>
    <t>Guyana</t>
  </si>
  <si>
    <t>Haiti</t>
  </si>
  <si>
    <t>Honduras</t>
  </si>
  <si>
    <t>Hungary</t>
  </si>
  <si>
    <t>Indonesia</t>
  </si>
  <si>
    <t>Iran, Islamic Rep.</t>
  </si>
  <si>
    <t>Iraq</t>
  </si>
  <si>
    <t>Italy</t>
  </si>
  <si>
    <t>Jamaica</t>
  </si>
  <si>
    <t>Kazakhstan</t>
  </si>
  <si>
    <t>Kiribati</t>
  </si>
  <si>
    <t>Korea, Dem. People's Rep.</t>
  </si>
  <si>
    <t>Kosovo</t>
  </si>
  <si>
    <t>Kuwait</t>
  </si>
  <si>
    <t>Kyrgyz Republic</t>
  </si>
  <si>
    <t>Lao PDR</t>
  </si>
  <si>
    <t>Lebanon</t>
  </si>
  <si>
    <t>Lesotho</t>
  </si>
  <si>
    <t>Liberia</t>
  </si>
  <si>
    <t>Libya</t>
  </si>
  <si>
    <t>Macedonia, FYR</t>
  </si>
  <si>
    <t>Madagascar</t>
  </si>
  <si>
    <t>Maldives</t>
  </si>
  <si>
    <t>Mali</t>
  </si>
  <si>
    <t>Marshall Islands</t>
  </si>
  <si>
    <t>Mauritania</t>
  </si>
  <si>
    <t>Mauritius</t>
  </si>
  <si>
    <t>Mexico</t>
  </si>
  <si>
    <t>Micronesia, Fed. Sts.</t>
  </si>
  <si>
    <t>Moldova</t>
  </si>
  <si>
    <t>Mongolia</t>
  </si>
  <si>
    <t>Montenegro</t>
  </si>
  <si>
    <t>Morocco</t>
  </si>
  <si>
    <t>Myanmar</t>
  </si>
  <si>
    <t>Namibia</t>
  </si>
  <si>
    <t>Nauru</t>
  </si>
  <si>
    <t>Nepal</t>
  </si>
  <si>
    <t>New Zealand</t>
  </si>
  <si>
    <t>Nicaragua</t>
  </si>
  <si>
    <t>Niger</t>
  </si>
  <si>
    <t>Nigeria</t>
  </si>
  <si>
    <t>Oman</t>
  </si>
  <si>
    <t>Pakistan</t>
  </si>
  <si>
    <t>Panama</t>
  </si>
  <si>
    <t>Papua New Guinea</t>
  </si>
  <si>
    <t>Paraguay</t>
  </si>
  <si>
    <t>Peru</t>
  </si>
  <si>
    <t>Puerto Rico</t>
  </si>
  <si>
    <t>Romania</t>
  </si>
  <si>
    <t>Russian Federation</t>
  </si>
  <si>
    <t>Rwanda</t>
  </si>
  <si>
    <t>Samoa</t>
  </si>
  <si>
    <t>São Tomé and Principe</t>
  </si>
  <si>
    <t>Senegal</t>
  </si>
  <si>
    <t>Serbia</t>
  </si>
  <si>
    <t>Seychelles</t>
  </si>
  <si>
    <t>Sierra Leone</t>
  </si>
  <si>
    <t>Sint Maarten (Dutch part)</t>
  </si>
  <si>
    <t>Slovak Republic</t>
  </si>
  <si>
    <t>Solomon Islands</t>
  </si>
  <si>
    <t>Somalia</t>
  </si>
  <si>
    <t>South Sudan</t>
  </si>
  <si>
    <t>Sri Lanka</t>
  </si>
  <si>
    <t>St. Kitts and Nevis</t>
  </si>
  <si>
    <t>St. Lucia</t>
  </si>
  <si>
    <t>St. Martin (French part)</t>
  </si>
  <si>
    <t>St. Vincent and the Grenadines</t>
  </si>
  <si>
    <t>Sudan</t>
  </si>
  <si>
    <t>Suriname</t>
  </si>
  <si>
    <t>Syrian Arab Republic</t>
  </si>
  <si>
    <t>Tajikistan</t>
  </si>
  <si>
    <t>Timor-Leste</t>
  </si>
  <si>
    <t>Togo</t>
  </si>
  <si>
    <t>Tonga</t>
  </si>
  <si>
    <t>Trinidad and Tobago</t>
  </si>
  <si>
    <t>Tunisia</t>
  </si>
  <si>
    <t>Turkey</t>
  </si>
  <si>
    <t>Turkmenistan</t>
  </si>
  <si>
    <t>Turks and Caicos Islands</t>
  </si>
  <si>
    <t>Tuvalu</t>
  </si>
  <si>
    <t>Uganda</t>
  </si>
  <si>
    <t>Ukraine</t>
  </si>
  <si>
    <t>Uruguay</t>
  </si>
  <si>
    <t>Uzbekistan</t>
  </si>
  <si>
    <t>Vanuatu</t>
  </si>
  <si>
    <t>Venezuela, RB</t>
  </si>
  <si>
    <t>Vietnam</t>
  </si>
  <si>
    <t>Virgin Islands (U.S.)</t>
  </si>
  <si>
    <t>West Bank and Gaza</t>
  </si>
  <si>
    <t>Yemen, Rep.</t>
  </si>
  <si>
    <t>Zimbabwe</t>
  </si>
  <si>
    <t>Note: This tool is only intended to be used in countries with lower digital health market maturity (1 - 3). Only those countries are included in the dropdown option.</t>
  </si>
  <si>
    <t>Enter the name of the country where the implementation is happening (select from dropdown)</t>
  </si>
  <si>
    <t xml:space="preserve">Note: Server costs will depend on the server type. Consider costs for application, service, and database servers. </t>
  </si>
  <si>
    <t>Total cost of servers for deployment</t>
  </si>
  <si>
    <t>Enter cost of a single server</t>
  </si>
  <si>
    <t>Calculated by multiplying server cost by number of servers needed.</t>
  </si>
  <si>
    <t xml:space="preserve">Enter cost of single router </t>
  </si>
  <si>
    <t>Total cost of routers for deployment</t>
  </si>
  <si>
    <t>Enter cost of a single desktop computer</t>
  </si>
  <si>
    <t>Total cost of desktop computers for deployment</t>
  </si>
  <si>
    <t>Calculated by multiplying router cost by number of routers needed.</t>
  </si>
  <si>
    <t>Calculated by multiplying desktop computer cost by number of computers needed.</t>
  </si>
  <si>
    <t>Enter cost of a single tablet or mobile phone</t>
  </si>
  <si>
    <t>Enter the number of desktop computers needed to be purchased across all sites over the 5-year deployment</t>
  </si>
  <si>
    <t>Enter the number of routers needed to be purchased across all sites over the 5-year deployment</t>
  </si>
  <si>
    <t>Enter the number of servers needed to be purchased across all sites over the 5-year deployment</t>
  </si>
  <si>
    <t>Enter the number of tablets or mobile phones needed to be purchased across all sites over the 5-year deployment</t>
  </si>
  <si>
    <t>Total cost of tablets/mobile phones for deployment</t>
  </si>
  <si>
    <t>Calculated by multiplying tablet/mobile phone cost by number of tablets/mobile phones needed.</t>
  </si>
  <si>
    <t>Note: May include modem, laptop computers, storage devices, switches, security equipment, backup equipment for redundancy and disaster recovery.</t>
  </si>
  <si>
    <t>Will the implementation utilize existing Infrastructure or share Infrascture with another project? (Enter 'Yes' or 'No')</t>
  </si>
  <si>
    <t>Enter annual connectivity cost for a single site or user</t>
  </si>
  <si>
    <t>Enter number of sites or users requiring connectivity across all sites over the 5-year deployment</t>
  </si>
  <si>
    <t>Note: Depending on where the system is deployed, may be incurred as a per user cost or per site cost.</t>
  </si>
  <si>
    <t>Calculated by multiplying annual connectivity cost by number of sites/users needing connectivity.</t>
  </si>
  <si>
    <t>Enter workshop costs for project planning and scoping</t>
  </si>
  <si>
    <t>Enter travel cost required for project planning and scoping staff</t>
  </si>
  <si>
    <t xml:space="preserve">Enter annual data/voice cost for a single site or user </t>
  </si>
  <si>
    <t>Enter number of sites or users requiring data/voice across all sites over the 5-year deployment</t>
  </si>
  <si>
    <t xml:space="preserve">Note: Costs incurred for data and voice services or bundles in the initial deployment (not reoccuring data and voice costs, which should be entered under operations costs). Typical requirements: $ per user per month utilizing a tablet or mobile phone. Costs may vary per country but could be as low as $1/month per mobile phone user or $7/month per tablet user. Make sure to enter this as an ANNUAL cost. </t>
  </si>
  <si>
    <t xml:space="preserve">Note: Depending on where the system is deployed, may be incurred as a per user cost or per site cost. These costs may be shared across other programs or departments. </t>
  </si>
  <si>
    <t>Total cost of connectivity for deployment</t>
  </si>
  <si>
    <t>Total cost of data/voice for deployment</t>
  </si>
  <si>
    <t>Enter cost of a single solar charger or generator</t>
  </si>
  <si>
    <t>Enter the number of solar chargers or generators needed to be purchased across all sites over the 5-year deployment</t>
  </si>
  <si>
    <t>Calculated by multiplying solar charger/generator cost by number of solar charger/generator needed.</t>
  </si>
  <si>
    <t>Total cost of labor for implementation services for deployment</t>
  </si>
  <si>
    <t>Enter number of sites or users requiring new deployment training across all sites over the 5-year deployment</t>
  </si>
  <si>
    <t xml:space="preserve">Note: Assumed to be based on the capital depreciation/replacement rate for equipment and hardware identified in the General Information section above. </t>
  </si>
  <si>
    <t xml:space="preserve">Enter annual equipment replacement rate </t>
  </si>
  <si>
    <t xml:space="preserve">Enter annual infrastructure replacement rate </t>
  </si>
  <si>
    <t>Note: Assumed to be based on the capital depreciation/replacement rate for infrastructure and hardware identified in the General Information section above.</t>
  </si>
  <si>
    <t>Total cost of solar chargers/generators for deployment</t>
  </si>
  <si>
    <t xml:space="preserve">Note: May or may not require budgeting as these services exist within the health system environments and may be shared. Typical requirements: $ per user per month utilizing a tablet or mobile phone. Costs may vary per country but could be as low as $1/month per mobile phone user or $7/month per tablet user. Make sure to enter this as an ANNUAL cost. </t>
  </si>
  <si>
    <t>Calculated by multiplying data/voice cost by number of sites/users needing data/voice.</t>
  </si>
  <si>
    <t>Enter costs of a recurrent training across all sites/users per year</t>
  </si>
  <si>
    <t>Enter annual transfer of ownership cost, if applicable</t>
  </si>
  <si>
    <t>Total cost of new deployment training required over the 5-year deployment</t>
  </si>
  <si>
    <t>Note: Typical requirements: 2 -3 workshops over 1 -3 days per workshop with 20 - 40 participants to gather feedback/input and then finalize and build consensus.
Be sure to calculate the following based on number of workshops and number of days per workshop: 
- Per diem per participant
- Cost of facilitators (typically 1 facilitator per 20 participants)
- Accommodation per participant traveling to workshop
- Travel costs per participant traveling to workshop
-  Meals per day
- Venue per day</t>
  </si>
  <si>
    <t>Source for Digital Square Digital Health Market Maturity</t>
  </si>
  <si>
    <t>TCO Cost Components Across Phases of Implementation</t>
  </si>
  <si>
    <r>
      <rPr>
        <sz val="11"/>
        <rFont val="Calibri"/>
        <family val="2"/>
        <scheme val="minor"/>
      </rPr>
      <t xml:space="preserve">•  The </t>
    </r>
    <r>
      <rPr>
        <u/>
        <sz val="11"/>
        <color theme="10"/>
        <rFont val="Calibri"/>
        <family val="2"/>
        <scheme val="minor"/>
      </rPr>
      <t xml:space="preserve">Total Cost of Ownership Model </t>
    </r>
    <r>
      <rPr>
        <sz val="11"/>
        <rFont val="Calibri"/>
        <family val="2"/>
        <scheme val="minor"/>
      </rPr>
      <t xml:space="preserve">for maintaining a mobile solution, developed by Dimagi based on the CommCare application. </t>
    </r>
  </si>
  <si>
    <r>
      <rPr>
        <sz val="11"/>
        <rFont val="Calibri"/>
        <family val="2"/>
        <scheme val="minor"/>
      </rPr>
      <t xml:space="preserve">•  </t>
    </r>
    <r>
      <rPr>
        <u/>
        <sz val="11"/>
        <color theme="10"/>
        <rFont val="Calibri"/>
        <family val="2"/>
        <scheme val="minor"/>
      </rPr>
      <t>Planning an Information Systems Project: A Toolkit for Public Health Managers</t>
    </r>
    <r>
      <rPr>
        <sz val="11"/>
        <rFont val="Calibri"/>
        <family val="2"/>
        <scheme val="minor"/>
      </rPr>
      <t>, published by PATH for help planning for implementations of health information systems.</t>
    </r>
  </si>
  <si>
    <t>Note: A 20% replacement is consistent with other digital health implementations but should be adjusted based on experience (appropriate range is generally 10-25%). A 20% replacement rate means that on average equipment needs to be replaced every 5 years but replacement costs are assumed to be incurred every year to replace damaged or broken equipment</t>
  </si>
  <si>
    <t xml:space="preserve">Note: Typical requirements: 1 -2 FTE to conduct project scoping for &lt; 1 year with monthly travel for 4 -5 days to sub-national implementation sites. Be sure to calculate the following based on number of workshops and number of days per workshop: 
- Per diem
- Transportation costs </t>
  </si>
  <si>
    <t>Will the implementation utilize existing equipment or share equipment with another project? (Enter 'Yes' or 'No')</t>
  </si>
  <si>
    <t>Note: If a government allocates equipment costs in annual health system budgets or if implementations utilize existing equipment, equipment costs may be omitted from deployment budgets. Equipment costs may also be shared across more project.</t>
  </si>
  <si>
    <t>Note: Using existing tablets/mobile phones already used by healthcare workers is feasible and reduces deployment costs.</t>
  </si>
  <si>
    <t xml:space="preserve">Note: If a government allocates infrastructure costs in annual health system budgets or if implementations utilize existing infrastructure, infrastructure costs may be omitted from deployment budgets. Infrastructure costs may be shared across more project. </t>
  </si>
  <si>
    <r>
      <t xml:space="preserve">Enter </t>
    </r>
    <r>
      <rPr>
        <b/>
        <sz val="11"/>
        <rFont val="Calibri"/>
        <family val="2"/>
        <scheme val="minor"/>
      </rPr>
      <t xml:space="preserve">other </t>
    </r>
    <r>
      <rPr>
        <sz val="11"/>
        <rFont val="Calibri"/>
        <family val="2"/>
        <scheme val="minor"/>
      </rPr>
      <t>needs assessment and requirement specifications (Enter '0' if not applicable)</t>
    </r>
  </si>
  <si>
    <r>
      <t>Enter total cost of</t>
    </r>
    <r>
      <rPr>
        <b/>
        <sz val="11"/>
        <rFont val="Calibri"/>
        <family val="2"/>
        <scheme val="minor"/>
      </rPr>
      <t xml:space="preserve"> other </t>
    </r>
    <r>
      <rPr>
        <sz val="11"/>
        <rFont val="Calibri"/>
        <family val="2"/>
        <scheme val="minor"/>
      </rPr>
      <t>equipment costs required over the 5-year deployment (Enter '0' if not applicable)</t>
    </r>
  </si>
  <si>
    <t>Note: May include electricity, data center hosting infrastructure needs, etc.</t>
  </si>
  <si>
    <r>
      <t xml:space="preserve">Enter total cost of </t>
    </r>
    <r>
      <rPr>
        <b/>
        <sz val="11"/>
        <rFont val="Calibri"/>
        <family val="2"/>
        <scheme val="minor"/>
      </rPr>
      <t xml:space="preserve">other infrastructure </t>
    </r>
    <r>
      <rPr>
        <sz val="11"/>
        <rFont val="Calibri"/>
        <family val="2"/>
        <scheme val="minor"/>
      </rPr>
      <t>costs required over the 5-year deployment (Enter '0' if not applicable)</t>
    </r>
  </si>
  <si>
    <r>
      <t xml:space="preserve">Enter total cost of </t>
    </r>
    <r>
      <rPr>
        <b/>
        <sz val="11"/>
        <rFont val="Calibri"/>
        <family val="2"/>
        <scheme val="minor"/>
      </rPr>
      <t xml:space="preserve">other </t>
    </r>
    <r>
      <rPr>
        <sz val="11"/>
        <rFont val="Calibri"/>
        <family val="2"/>
        <scheme val="minor"/>
      </rPr>
      <t>implementation service costs required over the 5-year deployment (Enter '0' if not applicable)</t>
    </r>
  </si>
  <si>
    <t>Note: Labor of software staff for configuration of settings/user acconts, migration of data, and setup for custom schemes/data types. Some deployments may not require implementation services in case no costs should be entered.</t>
  </si>
  <si>
    <t>Calculated by multiplying labor cost by level of effort needed.</t>
  </si>
  <si>
    <t>Note: Labor of software staff for major modifications, scope expansion, ongoing product expansion (adding features to support new functionality), and report generation.</t>
  </si>
  <si>
    <t>Enter the type of new deployment training being used (select from dropdown)</t>
  </si>
  <si>
    <t>Note: Costs are driven largely by the delivery approach (e.g., eLearning, classroom-based training, train-the-trainer, on-the-job training). For example, on-the-job training costs much less than classroom-based training.</t>
  </si>
  <si>
    <t>Note: Includes costs associated with ongoing operation of a DHI. Typically includes annual costs for hardware replacement, data and voice services, licenses and subscriptions, recurrent or refresher training, helpdesk support, maintenance and testing, project management, governance, monitoring and evaluation, and procurement services.</t>
  </si>
  <si>
    <t>Calculated by multiplying infrastructure replacement rate by total costs identified in the Deployment Infrastructure costs stated above across 4 years after initial deployment.</t>
  </si>
  <si>
    <t>Calculated by multiplying  infrastructure replacement rate by total costs identified in the Deployment Infrastructure costs stated above across 4 years after initial deployment.</t>
  </si>
  <si>
    <t>Calculated by multiplying equipment replacement rate by total costs identified in the Deployment Equipment costs stated above across 4 years after initial deployment.</t>
  </si>
  <si>
    <t>Note: If the system is a global good, costs are typically open source with zero licensing fees. Supporting software (e.g. databases, operating systems) may require licensing fees.</t>
  </si>
  <si>
    <t>Note: Includes recurring data and voice service fees or bundles.</t>
  </si>
  <si>
    <t>Note: Includes all elements to deliver refresher training and staff turnover training at set intervals. Key activities including trainer time, training materials, and any required travel.</t>
  </si>
  <si>
    <t>Enter the type of recurrent training being used (select from dropdown)</t>
  </si>
  <si>
    <t>Note: May be the same or different appraoch as the new deployment training. Costs are driven largely by the delivery approach (e.g., eLearning, classroom-based training, train-the-trainer, on-the-job training). For example, on-the-job training costs much less than classroom-based training.</t>
  </si>
  <si>
    <t>Note: Includes labor for operating the system such as system administrators, database administrators, business analysts, as well as a support team that provides ongoing end user support.</t>
  </si>
  <si>
    <t xml:space="preserve">Note: Includes maintaining the system (e.g. patches, downtime, scheduled or unscheduled), final SLAs, and maintenance contracts. </t>
  </si>
  <si>
    <t>Note: Includes testing which can be conducted as discrete scheduled activities for the central system environment including load, security, disaster recovery, and redundancy testing.</t>
  </si>
  <si>
    <t>Enter annual software licensing and subscriptions cost (Enter '0' if not applicable)</t>
  </si>
  <si>
    <t>Enter annual transportation and communication cost (Enter '0' if not applicable)</t>
  </si>
  <si>
    <t>Note: Includes resource or time associated with overall digital health governance in governement ministry, including developing visions, national guidelines, strategic plans, and implementation.</t>
  </si>
  <si>
    <t>Note: May include labor costs for establishing documents/plans and workshops to align and coordinate governance.</t>
  </si>
  <si>
    <t>Note: May include labor costs for creating reporting plans, metrics collection, writing reports, liaising with donors / funders. Monitoring &amp; evaluation activities may be integrated into the responsibilities of project management staff and represented in the project management cost category, in which case costs should not be entered here.</t>
  </si>
  <si>
    <t>Note: Typically covers the labor for procurement activities.</t>
  </si>
  <si>
    <t>Rwanda/Tanzania</t>
  </si>
  <si>
    <t>Development Cost</t>
  </si>
  <si>
    <t>Operations Cost</t>
  </si>
  <si>
    <t>LMIC (general)</t>
  </si>
  <si>
    <t xml:space="preserve">Operations </t>
  </si>
  <si>
    <t>Variance by % of TCO</t>
  </si>
  <si>
    <t>Note: Costs primarily driven by labor for system administrators, database analysts, and business analysts. Costs are higher where a solution is not fit-for-purpose in low-resource contexts and where major software releases and requirements to upgrade to new versions of the technology are necessary. For example, commercial-off-the-shelf solutions and software-as-a-service may include support services, reducing the ongoing cost of maintenance.</t>
  </si>
  <si>
    <t>Note: Costs primary driven by labor for system administrators, database analysts, and business analysts. Costs depend on type of software implemented. For example, commercial-off-the-shelf solutions and software-as-a-service may include support services, reducing the ongoing cost of testing.</t>
  </si>
  <si>
    <t>Total cost of integration and interoperability for deployment</t>
  </si>
  <si>
    <t>Note: Costs primary driven by labor for developers, project administrators, and users. Costs depend on type of software implemented. For example, commercial-off-the-shelf solutions and software-as-a-service may include support services, reducing the ongoing cost of testing.</t>
  </si>
  <si>
    <t>Note: May include cost of conducting a user acceptance testing workshop or on-site user testing. For example labor, travel, facility rentals, and per diems for facilitators and users. Typical requirements: 1 facilitator should be present for every 20 participants assumed. Costs should factor in number of days, number of attendees, and location of testing.</t>
  </si>
  <si>
    <t>Note: Includes development labor associated with major modifications and customizations, scope and ongoing product expansion (adding features to support new functionality), report generation.</t>
  </si>
  <si>
    <t>Note: Includes testing the implementation for functionality and stability to prepare for scale. May include end-user experience tests, end-user acceptance test, functionality tests in real-life settings, and load (or stress/volume) tests. Testing can identify and address issues early in software delivery which significantly decreases the costs of fixing issues later in implementation.</t>
  </si>
  <si>
    <r>
      <rPr>
        <sz val="11"/>
        <rFont val="Calibri"/>
        <family val="2"/>
        <scheme val="minor"/>
      </rPr>
      <t xml:space="preserve">•  </t>
    </r>
    <r>
      <rPr>
        <u/>
        <sz val="11"/>
        <color theme="10"/>
        <rFont val="Calibri"/>
        <family val="2"/>
        <scheme val="minor"/>
      </rPr>
      <t>Digital Health Impact Framework User Manual</t>
    </r>
    <r>
      <rPr>
        <sz val="11"/>
        <rFont val="Calibri"/>
        <family val="2"/>
        <scheme val="minor"/>
      </rPr>
      <t>, published by the Asian Development Bank (ADB) as a methodology for assessing digital health strategies, investments, and projects.</t>
    </r>
  </si>
  <si>
    <t xml:space="preserve">Note: Costs incurred for reoccurring helpdesk support depend on 1) who is providing support (government staff, implementing partners, or third party vendors), 2) what level of support is provided (level one – basic troubleshooting, level two – complex troubleshooting,  level three – last line of support for bugs and other issues), 3) number of end-users and computer literacy of end-users, 4) whether shared helpdesk across multiple DHIs is available, and 5) type of support model (for example, a lower cost model could include WhatsApp for end-users to report issues versus a formal helpdesk staffed during regular business hours, with a toll-free number outside of business hours). </t>
  </si>
  <si>
    <t xml:space="preserve">Note: Includes labor required to develop, adapt, customize, and localize the software for country-level project needs and functionality.These labor costs will vary significantly depending on whether the software is a full custom configuration or customization/adaptation of a digital public good. </t>
  </si>
  <si>
    <t>Note: Includes transferring ownership from the implementation vendor(s) to the government. May include costs associated with transfer of data hosting.</t>
  </si>
  <si>
    <t>Hosting in-house on premise</t>
  </si>
  <si>
    <t>Hosting through a third-party cloud service (local or international)</t>
  </si>
  <si>
    <t>Hosting list</t>
  </si>
  <si>
    <t>Hosting selected</t>
  </si>
  <si>
    <t>Hosting offsite at data center</t>
  </si>
  <si>
    <t>Digital Square Digital Health Market Maturity</t>
  </si>
  <si>
    <t>OANDA.com</t>
  </si>
  <si>
    <t>Haacker, Hallett, and Atun (2020)</t>
  </si>
  <si>
    <t>VW Total Cost of Ownership for Digital Health Reference Document</t>
  </si>
  <si>
    <t>Suggested source(s)</t>
  </si>
  <si>
    <t>DUP Tanzania Digital Health Investment Roadmap</t>
  </si>
  <si>
    <t>WHO Digital Implementation Investment Guide</t>
  </si>
  <si>
    <t>Dimagi's CommCare Total Cost of Ownership Model</t>
  </si>
  <si>
    <t>ADB Digital Health Impact Framework User Manual</t>
  </si>
  <si>
    <t xml:space="preserve">Description of costs </t>
  </si>
  <si>
    <t xml:space="preserve">Costs associated labor and resources for conducting gap analyses, assessing integration needs, requirements development, site and server assessment, and documentation. </t>
  </si>
  <si>
    <t>Costs associated with capital infrastructure including electricity, data center hosting infrastructure, connectivity, generators, and solar charges.</t>
  </si>
  <si>
    <t xml:space="preserve">Costs associated with conducting end-user experience testing, end-user acceptance testing, functionality testing in real-life settings, and load testing. </t>
  </si>
  <si>
    <t>Costs associated with developing  a training framework, curriculum and material, and program, as well as deploying the initial training to sites and users.</t>
  </si>
  <si>
    <t>Costs associated with annual hardware and equipment replacement or repair.</t>
  </si>
  <si>
    <t xml:space="preserve">Costs associated with replacing or updating obsolete/non-functional infrastructure including electricity, data centers, and connectivity. </t>
  </si>
  <si>
    <t>Costs associated with delivering refresher training and staff turnover training.</t>
  </si>
  <si>
    <t xml:space="preserve">Costs of labor for operating the system and providing ongoing end user support. </t>
  </si>
  <si>
    <t xml:space="preserve">Costs of labor required to develop, adapt, customize, and localize the software for project needs and functionality. </t>
  </si>
  <si>
    <t>Costs of labor for maintaining the system, service-level agreements, and maintenance contracts.</t>
  </si>
  <si>
    <t xml:space="preserve">Costs of labor for testing including load, security, disaster recovery, and redundancy testing. </t>
  </si>
  <si>
    <t xml:space="preserve">Costs of labor for initial configuration of settings, user accounts, and data. </t>
  </si>
  <si>
    <t>Costs of labor for communication and standards compliance between systems and configuration.</t>
  </si>
  <si>
    <t xml:space="preserve">Costs of labor for major modifications and customizations, scope and ongoing product expansion, and report generation. </t>
  </si>
  <si>
    <t xml:space="preserve">Costs associated with transferring ownership from implementation vendor(s) to the government  such as transfer of data hosting. </t>
  </si>
  <si>
    <t>Costs of labor for ongoing project management of the implementation.</t>
  </si>
  <si>
    <t>Costs associated with ad hoc and routine transportation and communication between core staff for project management and execution.</t>
  </si>
  <si>
    <t xml:space="preserve">Costs associated with labor and resources required for monitoring and evaluating program efficiency and impact including reporting plans, metric collection, and report writing. </t>
  </si>
  <si>
    <t xml:space="preserve">Costs associated with contracting including identifying requirements, creating and evaluating RFPs, and contract negotiation with implementers and vendors. </t>
  </si>
  <si>
    <t xml:space="preserve">5-Year Total Costs </t>
  </si>
  <si>
    <t xml:space="preserve">Commitments </t>
  </si>
  <si>
    <t>Government</t>
  </si>
  <si>
    <t xml:space="preserve">Stakeholder 1 </t>
  </si>
  <si>
    <t>Stakeholder 2</t>
  </si>
  <si>
    <t>Stakeholder 3</t>
  </si>
  <si>
    <t>Stakeholder 4</t>
  </si>
  <si>
    <t>Budget % and Gap</t>
  </si>
  <si>
    <t xml:space="preserve">•  The TCO tool is intended to be used to identify and collect user-specific cost data. Suggested inputs are provided in the tool when possible, but are only to be used as broad guidance and should be replaced by user-specific data when available. </t>
  </si>
  <si>
    <r>
      <rPr>
        <b/>
        <sz val="11"/>
        <rFont val="Calibri"/>
        <family val="2"/>
        <scheme val="minor"/>
      </rPr>
      <t xml:space="preserve">Instructions: </t>
    </r>
    <r>
      <rPr>
        <sz val="11"/>
        <rFont val="Calibri"/>
        <family val="2"/>
        <scheme val="minor"/>
      </rPr>
      <t xml:space="preserve">Enter data in the yellow boxes below. Please select your response from the dropdown menu when instructed to "select from dropdown". All yellow boxes should be filled out except when specified otherwise. Suggested inputs are provided when possible; however, these inputs are only intended as broad guidance and should not replace user-specific inputs.  </t>
    </r>
  </si>
  <si>
    <t>User input</t>
  </si>
  <si>
    <t>Suggested input</t>
  </si>
  <si>
    <t xml:space="preserve">Notes and guidance </t>
  </si>
  <si>
    <t>If you wish to calculate the costs in local currency, enter the current exchange rate of local currency to 1 USD (Enter '1.00' if USD is the preferred currency)</t>
  </si>
  <si>
    <t>currency</t>
  </si>
  <si>
    <t>Afghani</t>
  </si>
  <si>
    <t>Lek</t>
  </si>
  <si>
    <t>Belize Dollar</t>
  </si>
  <si>
    <t>Boliviano</t>
  </si>
  <si>
    <t>Convertible Mark</t>
  </si>
  <si>
    <t>Pula</t>
  </si>
  <si>
    <t>Riel</t>
  </si>
  <si>
    <t>Cayman Islands Dollar</t>
  </si>
  <si>
    <t>Yuan Renminbi</t>
  </si>
  <si>
    <t>Fiji Dollar</t>
  </si>
  <si>
    <t>Guyana Dollar</t>
  </si>
  <si>
    <t>Cedi</t>
  </si>
  <si>
    <t>Quetzal</t>
  </si>
  <si>
    <t>Lempira</t>
  </si>
  <si>
    <t>Forint</t>
  </si>
  <si>
    <t>Rupiah</t>
  </si>
  <si>
    <t>Tenge</t>
  </si>
  <si>
    <t>Kip</t>
  </si>
  <si>
    <t>Denar</t>
  </si>
  <si>
    <t>Mauritius Rupee</t>
  </si>
  <si>
    <t>Metical</t>
  </si>
  <si>
    <t>New Zealand Dollar</t>
  </si>
  <si>
    <t>Pakistan Rupee</t>
  </si>
  <si>
    <t>Naira</t>
  </si>
  <si>
    <t>Guarani</t>
  </si>
  <si>
    <t>Sol</t>
  </si>
  <si>
    <t>Seychelles Rupee</t>
  </si>
  <si>
    <t>Sri Lanka Rupee</t>
  </si>
  <si>
    <t>Solomon Islands Dollar</t>
  </si>
  <si>
    <t xml:space="preserve">Suriname Dollar </t>
  </si>
  <si>
    <t>Trinidad and Tobago Dollar</t>
  </si>
  <si>
    <t>Hryvnia</t>
  </si>
  <si>
    <t>Dong</t>
  </si>
  <si>
    <t xml:space="preserve">Zimbabwe Dollar </t>
  </si>
  <si>
    <t>Kyrgystan Som</t>
  </si>
  <si>
    <t>US Dollar</t>
  </si>
  <si>
    <t>Kwanza</t>
  </si>
  <si>
    <t>East Caribbean Dollar</t>
  </si>
  <si>
    <t>Algerian Dollar</t>
  </si>
  <si>
    <t>Argentine Peso</t>
  </si>
  <si>
    <t xml:space="preserve">Armeniam Dram </t>
  </si>
  <si>
    <t>Aruban Florin</t>
  </si>
  <si>
    <t>Azerbaijanian Manat</t>
  </si>
  <si>
    <t>Bahamian Dollar</t>
  </si>
  <si>
    <t>Belarusian Ruble</t>
  </si>
  <si>
    <t>CFA Franc</t>
  </si>
  <si>
    <t>Ngultrum</t>
  </si>
  <si>
    <t>Brazilian Real</t>
  </si>
  <si>
    <t>Bulgarian Lev</t>
  </si>
  <si>
    <t>Burundi Franc</t>
  </si>
  <si>
    <t>Cabo Verde Escudo</t>
  </si>
  <si>
    <t>Chilean Peso</t>
  </si>
  <si>
    <t>Colombian Peso</t>
  </si>
  <si>
    <t>Comoro Franc</t>
  </si>
  <si>
    <t>Congolese Franc</t>
  </si>
  <si>
    <t>Costa Rican Colon</t>
  </si>
  <si>
    <t>Croatian Kuna</t>
  </si>
  <si>
    <t>Cuban Peso</t>
  </si>
  <si>
    <t>Netherlands Antillian Guilder</t>
  </si>
  <si>
    <t>Djibouti Franc</t>
  </si>
  <si>
    <t>Dominican Peso</t>
  </si>
  <si>
    <t>Egyptian Pound</t>
  </si>
  <si>
    <t>Nakfa</t>
  </si>
  <si>
    <t>Lilangeni</t>
  </si>
  <si>
    <t>Ethiopian Birr</t>
  </si>
  <si>
    <t>Dalasi</t>
  </si>
  <si>
    <t>Lari</t>
  </si>
  <si>
    <t>Euro</t>
  </si>
  <si>
    <t>Guinea Franc</t>
  </si>
  <si>
    <t>Gourde</t>
  </si>
  <si>
    <t>Indian Rupee</t>
  </si>
  <si>
    <t>Iranian Rial</t>
  </si>
  <si>
    <t>Iraqi Dinar</t>
  </si>
  <si>
    <t>Jamaican Dollar</t>
  </si>
  <si>
    <t>Kenyan Shilling</t>
  </si>
  <si>
    <t>Australian Dollar</t>
  </si>
  <si>
    <t>North Korean Won</t>
  </si>
  <si>
    <t>Kuwaiti Dollar</t>
  </si>
  <si>
    <t>Lebanese Pound</t>
  </si>
  <si>
    <t>Loti</t>
  </si>
  <si>
    <t>Liberian Dollar</t>
  </si>
  <si>
    <t>Libyan Dinar</t>
  </si>
  <si>
    <t>Malagasy Ariary</t>
  </si>
  <si>
    <t>Malawi Kwacha</t>
  </si>
  <si>
    <t>Rufiyaa</t>
  </si>
  <si>
    <t>Ouguiya</t>
  </si>
  <si>
    <t>Mexican Peso</t>
  </si>
  <si>
    <t>Moldovan Leu</t>
  </si>
  <si>
    <t>Tugrik</t>
  </si>
  <si>
    <t>Moroccan Dirham</t>
  </si>
  <si>
    <t>Kyat</t>
  </si>
  <si>
    <t>Namibian Dollar</t>
  </si>
  <si>
    <t>Nepalese Rupee</t>
  </si>
  <si>
    <t>Cordoba Oro</t>
  </si>
  <si>
    <t>Rial Omani</t>
  </si>
  <si>
    <t>Balboa</t>
  </si>
  <si>
    <t>Kina</t>
  </si>
  <si>
    <t xml:space="preserve">Romanian Leu </t>
  </si>
  <si>
    <t xml:space="preserve">Russian Ruble </t>
  </si>
  <si>
    <t>Rwanda Franc</t>
  </si>
  <si>
    <t>Tala</t>
  </si>
  <si>
    <t>Dobra</t>
  </si>
  <si>
    <t xml:space="preserve">Serbian Dinar </t>
  </si>
  <si>
    <t>Leone</t>
  </si>
  <si>
    <t>Somali Shilling</t>
  </si>
  <si>
    <t>South Sudanese Pound</t>
  </si>
  <si>
    <t>Sudanese Pound</t>
  </si>
  <si>
    <t>Syrian Pound</t>
  </si>
  <si>
    <t>Somoni</t>
  </si>
  <si>
    <t>Tanzanian Shilling</t>
  </si>
  <si>
    <t>Pa'anga</t>
  </si>
  <si>
    <t>Tunisian Dinar</t>
  </si>
  <si>
    <t>Turkish Lira</t>
  </si>
  <si>
    <t>Turkmenistan New Manat</t>
  </si>
  <si>
    <t>Uganda Shilling</t>
  </si>
  <si>
    <t>Peso Uruguayo</t>
  </si>
  <si>
    <t>Uzbekistan Sum</t>
  </si>
  <si>
    <t>Vatu</t>
  </si>
  <si>
    <t>Bolivar</t>
  </si>
  <si>
    <t>Yemeni Rial</t>
  </si>
  <si>
    <t>Zambian Kwacha</t>
  </si>
  <si>
    <t>Israeli shekel</t>
  </si>
  <si>
    <t>Gap in funding</t>
  </si>
  <si>
    <r>
      <t xml:space="preserve">Enter </t>
    </r>
    <r>
      <rPr>
        <b/>
        <sz val="11"/>
        <rFont val="Calibri"/>
        <family val="2"/>
        <scheme val="minor"/>
      </rPr>
      <t>other</t>
    </r>
    <r>
      <rPr>
        <sz val="11"/>
        <rFont val="Calibri"/>
        <family val="2"/>
        <scheme val="minor"/>
      </rPr>
      <t xml:space="preserve"> project planning and scoping costs (Enter '0' if not applicable)</t>
    </r>
  </si>
  <si>
    <t>Enter number of sites or users requiring recurrent training per year</t>
  </si>
  <si>
    <r>
      <t>Enter total cost of</t>
    </r>
    <r>
      <rPr>
        <b/>
        <sz val="11"/>
        <rFont val="Calibri"/>
        <family val="2"/>
        <scheme val="minor"/>
      </rPr>
      <t xml:space="preserve"> other </t>
    </r>
    <r>
      <rPr>
        <sz val="11"/>
        <rFont val="Calibri"/>
        <family val="2"/>
        <scheme val="minor"/>
      </rPr>
      <t>annual helpdesk support costs (Enter '0' if not applicable)</t>
    </r>
  </si>
  <si>
    <t>Note: Includes ongoing costs to replace equipment as it becomes obsolete or non-functional. Can be estimated based on expected useful life. Assumed to be based on the capital depreciation/replacement rate for infrastructure and hardware identified in the General Information section above</t>
  </si>
  <si>
    <t>Enter annual equipment replacement rate for helpdesk support staff</t>
  </si>
  <si>
    <t xml:space="preserve">Note: Includes centralized capital equipment (e.g., servers, storage devices, developer and program manager laptops, routers, switches), distributed equipment (e.g., desktops, tablets), security equipment, redundancy and disaster recovery (e.g., additional costs or backup equipment). </t>
  </si>
  <si>
    <t>Cost category</t>
  </si>
  <si>
    <t xml:space="preserve">annual discount rate </t>
  </si>
  <si>
    <t>capital depreciation/replacement rate for equipment and hardware</t>
  </si>
  <si>
    <t>Public Source</t>
  </si>
  <si>
    <t>Internal source</t>
  </si>
  <si>
    <t>workshop costs</t>
  </si>
  <si>
    <t>~$550 USD per person for a 2-3 day workshop</t>
  </si>
  <si>
    <t>~340 USD per person for a 1 day workshop</t>
  </si>
  <si>
    <t>~850 USD per person for a 4 - 5 day workshop</t>
  </si>
  <si>
    <t>DUP Roadmap cost assumptions</t>
  </si>
  <si>
    <t>Single server</t>
  </si>
  <si>
    <t xml:space="preserve">1500 USD </t>
  </si>
  <si>
    <t xml:space="preserve">4500 USD </t>
  </si>
  <si>
    <r>
      <rPr>
        <sz val="11"/>
        <rFont val="Calibri"/>
        <family val="2"/>
        <scheme val="minor"/>
      </rPr>
      <t xml:space="preserve">•  </t>
    </r>
    <r>
      <rPr>
        <u/>
        <sz val="11"/>
        <color theme="10"/>
        <rFont val="Calibri"/>
        <family val="2"/>
        <scheme val="minor"/>
      </rPr>
      <t>National Health Information Exchange Costing Tool</t>
    </r>
    <r>
      <rPr>
        <sz val="11"/>
        <rFont val="Calibri"/>
        <family val="2"/>
        <scheme val="minor"/>
      </rPr>
      <t xml:space="preserve"> from Standards and Interoperability Lab - Asia  (SIL-Asia) with support from the Asian Development Bank</t>
    </r>
  </si>
  <si>
    <t xml:space="preserve">National Health Information Exchange Costing Tool from Standards and Interoperability Lab - Asia  (SIL-Asia) </t>
  </si>
  <si>
    <t>Minimum $1,500 USD per server</t>
  </si>
  <si>
    <t>Single router</t>
  </si>
  <si>
    <t>600 USD</t>
  </si>
  <si>
    <t>Desktop PC</t>
  </si>
  <si>
    <t>Office laptop</t>
  </si>
  <si>
    <t>3000 USD</t>
  </si>
  <si>
    <t>$600 USD per desktop computer</t>
  </si>
  <si>
    <t>Tablet and case</t>
  </si>
  <si>
    <t>415 USD</t>
  </si>
  <si>
    <t>Mobile phone w/ chargers / SIM card &amp; registration</t>
  </si>
  <si>
    <t>95 USD</t>
  </si>
  <si>
    <t>$415 USD per desktop computer or $95 USD per mobile phone</t>
  </si>
  <si>
    <t>Note: Includes cost of device, charger, and SIM card/registration, if needed.</t>
  </si>
  <si>
    <t>Note: Internet connectivity costs depend on whether separate internet access or SMS costs will be incured for this deployment, where the system is deployed, and what type of server/data hosting is used. Make sure to enter this as an ANNUAL cost. Often connectivity may be a monthly cost, which will need to be multipled by 12.</t>
  </si>
  <si>
    <t xml:space="preserve">Solar charger </t>
  </si>
  <si>
    <t>35 USD per worker/site</t>
  </si>
  <si>
    <t xml:space="preserve">200 USD per worker </t>
  </si>
  <si>
    <t>$35 - 200 USD per user per year</t>
  </si>
  <si>
    <t>User testing</t>
  </si>
  <si>
    <t>220 USD per person day</t>
  </si>
  <si>
    <t>DUP Zanzibar initiatives costing</t>
  </si>
  <si>
    <t>$220-340 USD per person per day</t>
  </si>
  <si>
    <t>$170 - 340 USD per person per day</t>
  </si>
  <si>
    <t>~$550 USD per person for a 2-3 day workshop ($183-275/day)</t>
  </si>
  <si>
    <t>~850 USD per person for a 4 - 5 day workshop ($170-213/day)</t>
  </si>
  <si>
    <t>Data/voice</t>
  </si>
  <si>
    <t>1 USD per worker per month / 12 USD per worker per year</t>
  </si>
  <si>
    <t>7 USD per tablet per month / 84 USD per worker per year</t>
  </si>
  <si>
    <t>$12 - 84 USD per user per year</t>
  </si>
  <si>
    <t xml:space="preserve">new deployment/recurrent training costs </t>
  </si>
  <si>
    <t>ICT Specialists/Managers</t>
  </si>
  <si>
    <t>ICT/Program Officer or Analyst</t>
  </si>
  <si>
    <t>ICT/Logistics/Admin Associates</t>
  </si>
  <si>
    <t>ICT/Logistics/Admin Assistants</t>
  </si>
  <si>
    <t>Currency = US Dollar</t>
  </si>
  <si>
    <t xml:space="preserve">Salaries for: </t>
  </si>
  <si>
    <t>5</t>
  </si>
  <si>
    <t>6</t>
  </si>
  <si>
    <t>7</t>
  </si>
  <si>
    <t>NO-A</t>
  </si>
  <si>
    <t>NO-B</t>
  </si>
  <si>
    <t>NO-C</t>
  </si>
  <si>
    <t>NO-D</t>
  </si>
  <si>
    <t>Multiplier</t>
  </si>
  <si>
    <t>Sources</t>
  </si>
  <si>
    <t xml:space="preserve">Currency </t>
  </si>
  <si>
    <t>Salary data</t>
  </si>
  <si>
    <t xml:space="preserve">Multiplier </t>
  </si>
  <si>
    <t>Solution advisor</t>
  </si>
  <si>
    <t>Country director</t>
  </si>
  <si>
    <t>Administrative assistant</t>
  </si>
  <si>
    <t>Software developer</t>
  </si>
  <si>
    <t>User helpdesk support staff</t>
  </si>
  <si>
    <t>System administrator</t>
  </si>
  <si>
    <t>Database administrator</t>
  </si>
  <si>
    <t>Business analyst</t>
  </si>
  <si>
    <t>Procurement staff</t>
  </si>
  <si>
    <t>TCO job title</t>
  </si>
  <si>
    <t>Associated UN job title</t>
  </si>
  <si>
    <t>Salary (low range)</t>
  </si>
  <si>
    <t xml:space="preserve">Salary (high range) </t>
  </si>
  <si>
    <t xml:space="preserve">Salary based on international UN rates </t>
  </si>
  <si>
    <t>P1</t>
  </si>
  <si>
    <t>P2</t>
  </si>
  <si>
    <t>P3</t>
  </si>
  <si>
    <t>P4</t>
  </si>
  <si>
    <t xml:space="preserve">See Salary input data tab </t>
  </si>
  <si>
    <t>Salary level data - midpoint (USD)</t>
  </si>
  <si>
    <t>Implementation Phase</t>
  </si>
  <si>
    <t>What is the server hosting model for this implementation? (Select from dropdown)</t>
  </si>
  <si>
    <t>$600 USD per router</t>
  </si>
  <si>
    <t>Software Development and Adaptation</t>
  </si>
  <si>
    <t>Total cost of software development and adaptation required for deployment</t>
  </si>
  <si>
    <t xml:space="preserve">Software Development and Adaptation </t>
  </si>
  <si>
    <t>Enter cost of a new deployment training per person per day</t>
  </si>
  <si>
    <t>Total cost of server replacement across all sites per year</t>
  </si>
  <si>
    <t>Total cost of router replacement across all sites per year</t>
  </si>
  <si>
    <t>Total cost of desktop computer replacement across all sites per year</t>
  </si>
  <si>
    <t>Total cost of tablet/mobile replacement across all sites per year</t>
  </si>
  <si>
    <t>Total cost of other equipment replacement across all sites per year</t>
  </si>
  <si>
    <t>Enter annual labor costs for a single staff worker if they worked full time on project planning and scoping</t>
  </si>
  <si>
    <t>Enter the amount of effort needed for the implementation services</t>
  </si>
  <si>
    <t>Note: Labor requirements for project management may include: change management, establishing a governance structure (management team, core working group, steering committees), creating and evaluating RFPs, negotiating with vendors, and contracting partners. Consider whether the following typical project management staff are needed: Project managers, solution advisors, program managers, M&amp;E staff, a country director, a digital solutions director, and administrative staff.</t>
  </si>
  <si>
    <t>Enter the amount of effort needed for project planning and scoping</t>
  </si>
  <si>
    <t>Total cost of labor for project planning and scoping for deployment</t>
  </si>
  <si>
    <t xml:space="preserve">Note:  Includes labor for gaps analysis, assessing integration, data modeling, requirements development, site and server assessment, and documentation.  </t>
  </si>
  <si>
    <t>Enter the amount of effort needed for needs assessment and requirements specifications</t>
  </si>
  <si>
    <t>Total cost of labor for needs assessment and requirements specifications for deployment</t>
  </si>
  <si>
    <t>Note: May include other resources such as direct or indirect overhead, documentation activities, etc.</t>
  </si>
  <si>
    <t>Note: Level of effort depends on implementation but typical requirements are 1 - 2 FTE for 2 - 12 months depending on complexity of project. Enter a decimal if it is a fraction of an FTE (e.g. 0.5 for someone working half time or 1.5 for one full time person and a half time person).</t>
  </si>
  <si>
    <t>Note: Level of effort depends on implementation but typical requirements are 1 - 2 FTE for 2 - 6 months depending on complexity of project. Enter a decimal if it is a fraction of an FTE (e.g. 0.5 for someone working half time or 1.5 for one full time person and a half time person).</t>
  </si>
  <si>
    <t>Note: Level of effort depends on implementation but typical requirements are 1 - 3 FTE software developers for 2 - 9 months depending on complexity of project. For language translation/customization, additional 1 - 3 weeks LTE. Enter a decimal if it is a fraction of an FTE (e.g. 0.5 for someone working half time or 1.5 for one full time person and a half time person).</t>
  </si>
  <si>
    <t>0.2 - 2.0</t>
  </si>
  <si>
    <t>0.2 - 1.0</t>
  </si>
  <si>
    <t>0.2 - 2.25</t>
  </si>
  <si>
    <t>Enter the annual labor costs for a single staff worker if they worked full time on implementation services (Enter '0' if not applicable)</t>
  </si>
  <si>
    <t>Note: Level of effort depends on implementation but this is likely to be less than 1 FTE. Enter a decimal if it is a fraction of an FTE (e.g. 0.5 for someone working half time or 1.5 for one full time person and a half time person).</t>
  </si>
  <si>
    <t>Enter the annual labor costs for a single staff worker if they worked full time on needs assessment and requirements specifications</t>
  </si>
  <si>
    <t>Enter the annual labor costs for a single staff worker if they worked full time on software developmnet</t>
  </si>
  <si>
    <t>Enter the amount of effort needed for software development</t>
  </si>
  <si>
    <t>Total cost of labor for software development</t>
  </si>
  <si>
    <t>Note: Enter a decimal if it is a fraction of an FTE (e.g. 0.5 for someone working half time or 1.5 for one full time person and a half time person).</t>
  </si>
  <si>
    <t>Enter the annual labor costs for a single staff worker if they worked full time on integration and interoperability (Enter '0' if not applicable)</t>
  </si>
  <si>
    <t>Enter the annual labor costs for a single staff worker if they worked full time on software development and adaptation (Enter '0' if not applicable)</t>
  </si>
  <si>
    <t>Total annual labor cost of helpdesk support staff</t>
  </si>
  <si>
    <t>Note: Depends on level of support provided and number of end users/sites needing helpdesk support. Enter a decimal if it is a fraction of an FTE (e.g. 0.5 for someone working half time or 1.5 for one full time person and a half time person).</t>
  </si>
  <si>
    <t xml:space="preserve">Enter the amount of effort needed for helpdesk support </t>
  </si>
  <si>
    <t>Enter the annual labor costs for a single helpdesk support staff worker if they worked full time on helpdesk support</t>
  </si>
  <si>
    <t>Enter the amount of effort needed for testing</t>
  </si>
  <si>
    <t xml:space="preserve">Enter the amount of effort needed for software development and adaptation </t>
  </si>
  <si>
    <t>Enter the amount of effort needed for integration and interoperability</t>
  </si>
  <si>
    <t>Enter the amount of effort needed for developing the initial training</t>
  </si>
  <si>
    <t>Total labor costs of developing the initial training</t>
  </si>
  <si>
    <t xml:space="preserve">Calculated by multiplying labor cost by level of effort needed </t>
  </si>
  <si>
    <t>Calculated adding initial labor costs of developing training with costs of deploying training across all sites.</t>
  </si>
  <si>
    <t>Note: Level of effort depends on implementation but typical labor requirements are 1 -2 FTE for 5 - 12 months. Enter a decimal if it is a fraction of an FTE (e.g. 0.5 for someone working half time or 1.5 for one full time person and a half time person).</t>
  </si>
  <si>
    <t>0.4 - 2.0</t>
  </si>
  <si>
    <t>Total annual labor cost for maintenance</t>
  </si>
  <si>
    <t>Enter the amount of effort needed for maintenance</t>
  </si>
  <si>
    <t xml:space="preserve">Note: Level of effort depends on implementation but typical requirements are 1 person at 25% FTE per year. Enter a decimal if it is a fraction of an FTE (e.g. 0.5 for someone working half time or 1.5 for one full time person and a half time person). </t>
  </si>
  <si>
    <t>Enter the amount of effort needed for software testing</t>
  </si>
  <si>
    <t>Total annual labor cost for software testing</t>
  </si>
  <si>
    <t xml:space="preserve">Note: Level of effort depends on implementation. Enter a decimal if it is a fraction of an FTE (e.g. 0.5 for someone working half time or 1.5 for one full time person and a half time person). </t>
  </si>
  <si>
    <t>Total annual labor cost for project management</t>
  </si>
  <si>
    <t>Enter the annual labor costs for a single staff worker if they worked full time on testing (Enter '0' if not applicable)</t>
  </si>
  <si>
    <t>Enter costs of conducting testing with users (Enter '0' if not applicable)</t>
  </si>
  <si>
    <t>Enter the annual labor costs for a single staff worker if they worked full time on developing the initial training (Enter '0' if not applicable)</t>
  </si>
  <si>
    <t>Enter costs of initial training for helpdesk support staff (Enter '0' if not applicable)</t>
  </si>
  <si>
    <t>Enter annual data costs for helpdesk support staff (Enter '0' if not applicable)</t>
  </si>
  <si>
    <t>Enter initial equipment costs for helpdesk support staff (Enter '0' if not applicable)</t>
  </si>
  <si>
    <t>Enter costs of annual recurring helpdesk support training (Enter '0' if not applicable)</t>
  </si>
  <si>
    <t>Enter the annual labor costs for a single staff worker if they worked full time on maintenance (Enter '0' if not applicable)</t>
  </si>
  <si>
    <t>Enter the annual labor costs for a single staff worker if they worked full time on software testing (Enter '0' if not applicable)</t>
  </si>
  <si>
    <t>Enter the annual labor costs for a single staff worker if they worked full time on project management (Enter '0' if not applicable)</t>
  </si>
  <si>
    <t>Enter the amount of effort needed for project management</t>
  </si>
  <si>
    <t>Total annual labor cost for governance</t>
  </si>
  <si>
    <t>Enter the amount of effort needed for governance</t>
  </si>
  <si>
    <t>Enter the annual labor costs for a single staff worker if they worked full time on governance (Enter '0' if not applicable)</t>
  </si>
  <si>
    <t xml:space="preserve">Note: Level of effort depends on implementation. Typical requirement: 50% annual FTE for core staff.  Enter a decimal if it is a fraction of an FTE (e.g. 0.5 for someone working half time or 1.5 for one full time person and a half time person). </t>
  </si>
  <si>
    <t>Total annual labor cost for monitoring &amp; evaluation</t>
  </si>
  <si>
    <t>Enter the amount of effort needed for monitoring &amp; evaluation</t>
  </si>
  <si>
    <t xml:space="preserve">Note: Level of effort depends on implementation and resources for monitoring &amp; evaluation may be shared across other DHIs. Enter a decimal if it is a fraction of an FTE (e.g. 0.5 for someone working half time or 1.5 for one full time person and a half time person). </t>
  </si>
  <si>
    <t>Enter the annual labor costs for a single staff worker if they worked full time on monitoring &amp; evaluation  (Enter '0' if not applicable)</t>
  </si>
  <si>
    <t>Total annual labor cost for procurement</t>
  </si>
  <si>
    <t>Enter  the annual labor costs for a single staff worker if they worked full time on procurement (Enter '0' if not applicable)</t>
  </si>
  <si>
    <t>Enter the amount of effort needed for procurement</t>
  </si>
  <si>
    <t xml:space="preserve">Note: Level of effort depends on implementation but typical requirements are 1 -3 months of 1 FTE per year.  Enter a decimal if it is a fraction of an FTE (e.g. 0.5 for someone working half time or 1.5 for one full time person and a half time person). </t>
  </si>
  <si>
    <t>Note: Includes startup, one-time-only planning and development activities such as costs related to human resources, workshops, requirements gathering, project management and overhead, and software development. In some instances, the project scoping and planning costs have already been invested in order to lay the foundation for a multi-year implementation. If this is the case, and a software has already been identified, the implementation may not require costing for this phase and 'No' should be entered as the user input.</t>
  </si>
  <si>
    <t>Enter number of training days required per site</t>
  </si>
  <si>
    <t>Calculated by multiplying labor cost by level of effort needed .</t>
  </si>
  <si>
    <t>Total cost of solar chargers/generators across all sites per year</t>
  </si>
  <si>
    <t>Total cost of other infrastructure replacement across all sites per year</t>
  </si>
  <si>
    <t>Enter number of sites or users requiring data/voice per year</t>
  </si>
  <si>
    <t>Total labor cost of testing required for deployment</t>
  </si>
  <si>
    <t>Data entry that includes number of sites/users</t>
  </si>
  <si>
    <t>International UN category</t>
  </si>
  <si>
    <t>Grade level</t>
  </si>
  <si>
    <t>Midpoint step within grade level</t>
  </si>
  <si>
    <t>Professional &amp; higher</t>
  </si>
  <si>
    <t>Effective date</t>
  </si>
  <si>
    <t>January 2021</t>
  </si>
  <si>
    <t>Salary range data</t>
  </si>
  <si>
    <t xml:space="preserve">Non-international UN categories </t>
  </si>
  <si>
    <t>M&amp;E manager/ officer</t>
  </si>
  <si>
    <t>Program/ project manager</t>
  </si>
  <si>
    <t>ICT/Logistics/ Admin Assistants</t>
  </si>
  <si>
    <t>ICT/Logistics/ Admin Associates</t>
  </si>
  <si>
    <t>ICT/Logistics/ Admin Associates (Senior)</t>
  </si>
  <si>
    <t>WHO Digital Implementation Investment Guide
VW Total Cost of Ownership for Digital Health Reference Document
DUP Tanzania Digital Health Investment Roadmap</t>
  </si>
  <si>
    <t>VW Total Cost of Ownership for Digital Health Reference Document
DUP Tanzania Digital Health Investment Roadmap</t>
  </si>
  <si>
    <t>DUP Tanzania Digital Health Investment Roadmap
SIL Asia National Health Information Exchange Costing Tool</t>
  </si>
  <si>
    <t>VW Total Cost of Ownership for Digital Health Reference Document
Dimagi's CommCare Total Cost of Ownership Model</t>
  </si>
  <si>
    <t>Note: The server hosting model is the infrastructure where the system’s central software resides. This TCO tool assumes the implementation will be hosted on a local server (at the site of the user), offsite at a central data center, or on a third-party cloud service (such as Amazon Web Services) with adequate stability, security, and infrastructure</t>
  </si>
  <si>
    <t xml:space="preserve"> 2 servers per regional hospital; 1 server per district hospital/health facility</t>
  </si>
  <si>
    <t>1  router per site</t>
  </si>
  <si>
    <t>May be incurred as a per user cost or per site cost</t>
  </si>
  <si>
    <t xml:space="preserve">1 generator per small health facility and/or 1 solar charger per user. </t>
  </si>
  <si>
    <t>1 - 5 days</t>
  </si>
  <si>
    <t>Input testing</t>
  </si>
  <si>
    <t xml:space="preserve">Impact on benchmarking </t>
  </si>
  <si>
    <t xml:space="preserve">Typical requirements: 2 servers per regional hospital and 1 server per district hospital/health facility. Suggested input reflects number of sites entered by user, if applicable. </t>
  </si>
  <si>
    <t xml:space="preserve">Note:  Typical requirements: 1 router per implementation site requiring internet connectivity. Suggested input reflects number of sites entered by user, if applicable. </t>
  </si>
  <si>
    <t xml:space="preserve">Note: Suggested input reflects number of sites entered by user, if applicable. </t>
  </si>
  <si>
    <t>Note: Using existing solar chargers/generators is feasible and reduces deployment costs.Typical requirement: 1 generator per small health facility and/or 1 solar charger per user. Suggested input reflects number of sites entered by user, if applicable. Adjust if costing per user.</t>
  </si>
  <si>
    <t>Total TCO</t>
  </si>
  <si>
    <t>% for development</t>
  </si>
  <si>
    <t>% for deployment</t>
  </si>
  <si>
    <t>% for operations</t>
  </si>
  <si>
    <t>&lt;1%</t>
  </si>
  <si>
    <t>All inputs for cost categories in column A changed to the input below</t>
  </si>
  <si>
    <t>Annual gross salary per full time worker</t>
  </si>
  <si>
    <t>Amount of effort needed</t>
  </si>
  <si>
    <t>Suggested effort input</t>
  </si>
  <si>
    <t>Development phase: Project planning and scoping</t>
  </si>
  <si>
    <t>Position title</t>
  </si>
  <si>
    <r>
      <rPr>
        <b/>
        <sz val="11"/>
        <color theme="1"/>
        <rFont val="Calibri"/>
        <family val="2"/>
        <scheme val="minor"/>
      </rPr>
      <t xml:space="preserve">Instructions: </t>
    </r>
    <r>
      <rPr>
        <sz val="11"/>
        <color theme="1"/>
        <rFont val="Calibri"/>
        <family val="2"/>
        <scheme val="minor"/>
      </rPr>
      <t>Enter data in the yellow boxes below. Some suggestions and guidance are provided. For Amount of effort needed,  enter a decimal if it is a fraction of an FTE (e.g. 0.5 for someone working half time or 1.5 for one full time person and a half time person).</t>
    </r>
  </si>
  <si>
    <t xml:space="preserve">Note: Level of effort depends on implementation but typical requirements are 1 - 2 FTE for 2 - 12 months depending on complexity of project. </t>
  </si>
  <si>
    <t>Development phase: Needs assessment and requirements specifications</t>
  </si>
  <si>
    <t xml:space="preserve">Note: Level of effort depends on implementation but typical requirements are 1 - 2 FTE for 2 - 6 months depending on complexity of project. </t>
  </si>
  <si>
    <t>Development phase: Software development</t>
  </si>
  <si>
    <t xml:space="preserve">Note: Level of effort depends on implementation but typical requirements are 1 - 3 FTE software developers for 2 - 9 months depending on complexity of project. For language translation/customization, additional 1 - 3 weeks LTE. </t>
  </si>
  <si>
    <t>Deployment phase: Implementation services</t>
  </si>
  <si>
    <t xml:space="preserve">Note: Level of effort depends on implementation but this is likely to be less than 1 FTE. </t>
  </si>
  <si>
    <t>Deployment phase: Integration and interoperability</t>
  </si>
  <si>
    <t>Deployment phase: Software development and adaptation</t>
  </si>
  <si>
    <t>Deployment phase: Testing</t>
  </si>
  <si>
    <t>Note: Includes testing the implementation for functionality and stability to prepare for scale. May include labor for software developers and project administrators. Costs depend on type of software implemented. For example, commercial-off-the-shelf solutions and software-as-a-service may include support services, reducing the ongoing cost of testing.</t>
  </si>
  <si>
    <t>Deployment phase: New deployment training</t>
  </si>
  <si>
    <t xml:space="preserve">Note: Includes labor associated with developing a training program, curricula and material. </t>
  </si>
  <si>
    <t>Note: Includes labor associated with developing a training program, curricula and material, as well as labor costs for trainers and facilitators.</t>
  </si>
  <si>
    <t xml:space="preserve">Note: Level of effort depends on implementation but typical labor requirements are 1 -2 FTE for 5 - 12 months. </t>
  </si>
  <si>
    <t xml:space="preserve">Note: May include direct and indirect overhead costs. </t>
  </si>
  <si>
    <t>Operations phase: Recurrent training</t>
  </si>
  <si>
    <t>Note: Includes labor associated with delivering refresher training including labor costs for trainers and facilitators.</t>
  </si>
  <si>
    <t>Note: May be the same or different approach as the new deployment training. Costs are driven largely by the delivery approach (e.g., eLearning, classroom-based training, train-the-trainer, on-the-job training). For example, on-the-job training costs much less than classroom-based training.</t>
  </si>
  <si>
    <t xml:space="preserve">Operations phase: Helpdesk support </t>
  </si>
  <si>
    <t xml:space="preserve">Note: Includes labor associated with initial training for helpdesk support staff, annual labor cost of helpdesk support staff, and labor associated with hiring new helpdesk staff due to turnover. Annual labor costs include Includes labor for operating the system such as system administrators, database administrators, business analysts, as well as a support team that provides ongoing end user support. Costs incurred for reoccurring helpdesk support depend on 1) who is providing support (government staff, implementing partners, or third party vendors), 2) what level of support is provided (level one – basic troubleshooting, level two – complex troubleshooting,  level three – last line of support for bugs and other issues), 3) number of end-users and computer literacy of end-users, 4) whether shared helpdesk across multiple DHIs is available, and 5) type of support model (for example, a lower cost model could include WhatsApp for end-users to report issues versus a formal helpdesk staffed during regular business hours, with a toll-free number outside of business hours). </t>
  </si>
  <si>
    <t>Operations phase: Maintenance</t>
  </si>
  <si>
    <t>Note: Includes maintaining the system (e.g. patches, downtime, scheduled or unscheduled), final SLAs, and maintenance contracts. Labor may include system administrators, database analysts, and business analysts. Costs are higher where a solution is not fit-for-purpose in low-resource contexts and where major software releases and requirements to upgrade to new versions of the technology are necessary. For example, commercial-off-the-shelf solutions and software-as-a-service may include support services, reducing the ongoing cost of maintenance.</t>
  </si>
  <si>
    <t xml:space="preserve">Note: Level of effort depends on implementation but typical requirements are 1 person at 25% FTE per year. </t>
  </si>
  <si>
    <t>Operations phase: Testing</t>
  </si>
  <si>
    <t>Note: Includes testing which can be conducted as discrete scheduled activities for the central system environment including load, security, disaster recovery, and redundancy testing.  Labor may include system administrators, database analysts, and business analysts. Costs depend on type of software implemented. For example, commercial-off-the-shelf solutions and software-as-a-service may include support services, reducing the ongoing cost of testing.</t>
  </si>
  <si>
    <t>Operations phase: Project management</t>
  </si>
  <si>
    <t>Operations phase: Governance</t>
  </si>
  <si>
    <t>Note: Includes labor associated with overall digital health governance in governement ministry, including developing visions, national guidelines, strategic plans, and implementation. May also include labor costs for establishing documents/plans and workshops to align and coordinate governance.</t>
  </si>
  <si>
    <t xml:space="preserve">Note: Level of effort depends on implementation. Typical requirement: 50% annual FTE for core staff.  </t>
  </si>
  <si>
    <t>Operations phase: Monitoring &amp; evaluation</t>
  </si>
  <si>
    <t>Note: Includes cost associated with ongoing management of the project. Costs usually cover the labor for a project manager role.</t>
  </si>
  <si>
    <t>Note: Includes monitoring and evaluating program efficacy and impact. ay include labor costs for creating reporting plans, metrics collection, writing reports, liaising with donors / funders. Monitoring &amp; evaluation activities may be integrated into the responsibilities of project management staff and represented in the project management cost category.</t>
  </si>
  <si>
    <t>Operations phase: Procurement</t>
  </si>
  <si>
    <t>Note: Includes contracting, including identifying requirements, creating RFP, evaluating RFP, and contract negotiation with software implementers and hardware vendors. Typically covers the labor for procurement activities.</t>
  </si>
  <si>
    <t xml:space="preserve">Note: Level of effort depends on implementation but typical requirements are 1 -3 months of 1 FTE per year. </t>
  </si>
  <si>
    <r>
      <rPr>
        <i/>
        <sz val="11"/>
        <rFont val="Calibri"/>
        <family val="2"/>
        <scheme val="minor"/>
      </rPr>
      <t>Sources</t>
    </r>
    <r>
      <rPr>
        <i/>
        <u/>
        <sz val="11"/>
        <color theme="10"/>
        <rFont val="Calibri"/>
        <family val="2"/>
        <scheme val="minor"/>
      </rPr>
      <t xml:space="preserve">
Salary data
Multiplier</t>
    </r>
  </si>
  <si>
    <r>
      <t xml:space="preserve">For the annual gross salary per full time worker, please reference the table on the right: </t>
    </r>
    <r>
      <rPr>
        <u/>
        <sz val="11"/>
        <color rgb="FF0563C1"/>
        <rFont val="Calibri"/>
        <family val="2"/>
        <scheme val="minor"/>
      </rPr>
      <t>Salary based on international UN rates</t>
    </r>
    <r>
      <rPr>
        <sz val="11"/>
        <color theme="1"/>
        <rFont val="Calibri"/>
        <family val="2"/>
        <scheme val="minor"/>
      </rPr>
      <t>. THese salary ranges reflect the best estimate of current gross salaries for relevant job titles based on international United Nations salaries. The salaries are adjusted for cost of living based on the country selected in the Data Inputs tab. These data are intended to be used as guidance to users for determining the cost of labor associated with DHI implementations. However, users are encouraged to use local or project-specific salary data where possible.</t>
    </r>
  </si>
  <si>
    <t>Country-specific multiplier</t>
  </si>
  <si>
    <t>Effective date: January 2021</t>
  </si>
  <si>
    <t>Salary midpoint step within grade level</t>
  </si>
  <si>
    <t xml:space="preserve">Country-adjusted salary </t>
  </si>
  <si>
    <r>
      <t xml:space="preserve">Note: </t>
    </r>
    <r>
      <rPr>
        <sz val="11"/>
        <color theme="1" tint="0.14999847407452621"/>
        <rFont val="Calibri"/>
        <family val="2"/>
        <scheme val="minor"/>
      </rPr>
      <t>The salary ranges provided here reflect the best estimate of current gross salaries for relevant job titles based on international United Nations salaries and adjustments. For lower-level staff without associated United Nations salary scales, salary ranges were extrapolated based on the average percentage increase observed across 20+ countries with data from local salary surveys. The salaries are adjusted for cost of living using a multiplier based on the country selected in the Data Inputs tab. These data are intended to be used as guidance to users for determining the cost of labor associated with DHI implementations. However, users are encouraged to use local or project-specific salary data where possible.</t>
    </r>
  </si>
  <si>
    <t xml:space="preserve">IN ORDER TO USE THE TCO TOOL CORRECTLY, INPUT TABS SHOULD BE COMPLETED BEFORE ANY OF THE SUBSEQUENT TABS ARE REFERENCED. </t>
  </si>
  <si>
    <t xml:space="preserve"> </t>
  </si>
  <si>
    <t>Does the implementation require costing for project initiation (scoping and planning for implementation)? (Select 'Yes' or 'No' from the Dropdown)</t>
  </si>
  <si>
    <t>Operations (recurring costs)</t>
  </si>
  <si>
    <t>number of districts</t>
  </si>
  <si>
    <t>number of last mile health facilities</t>
  </si>
  <si>
    <t>$415 USD per tablet or $95 USD per mobile phone</t>
  </si>
  <si>
    <t>Calculated</t>
  </si>
  <si>
    <t>Mobile Phones</t>
  </si>
  <si>
    <t>Enter annual software licensing and subscription costs per site or user (Enter '0' if not applicable)</t>
  </si>
  <si>
    <r>
      <t>The TCO tool includes</t>
    </r>
    <r>
      <rPr>
        <sz val="11"/>
        <rFont val="Calibri"/>
        <family val="2"/>
        <scheme val="minor"/>
      </rPr>
      <t xml:space="preserve"> several</t>
    </r>
    <r>
      <rPr>
        <sz val="11"/>
        <color theme="1"/>
        <rFont val="Calibri"/>
        <family val="2"/>
        <scheme val="minor"/>
      </rPr>
      <t xml:space="preserve"> tabs for the user, which can be navigated using the tabs at the bottom of the screen. The tabs should be completed sequentially. </t>
    </r>
  </si>
  <si>
    <t>1 - 2 days</t>
  </si>
  <si>
    <t>Enter per diem cost for each trainee</t>
  </si>
  <si>
    <t>1 - 3 days</t>
  </si>
  <si>
    <t>Enter daily rate for a single staff worker working on project planning and scoping</t>
  </si>
  <si>
    <t>Enter the level of effort (no. of days) needed for needs assessment and requirements specifications</t>
  </si>
  <si>
    <t>Enter the daily rate for a single staff worker working on needs assessment and requirements specifications</t>
  </si>
  <si>
    <t>Enter the level of effort (no. of days) needed for project planning and scoping</t>
  </si>
  <si>
    <t>Enter the level of effort (no. of days) needed for software development</t>
  </si>
  <si>
    <t>Calculated by multiplying daily rate by level of effort needed.</t>
  </si>
  <si>
    <t>Enter the  daily rate for a single staff worker working on implementation services (Enter '0' if not applicable)</t>
  </si>
  <si>
    <t>Enter the  daily rate for a single staff worker working on integration and interoperability (Enter '0' if not applicable)</t>
  </si>
  <si>
    <t>Enter the daily rate for a single staff worker working on software development and adaptation (Enter '0' if not applicable)</t>
  </si>
  <si>
    <t>Enter the daily rate for a single staff worker working on testing (Enter '0' if not applicable)</t>
  </si>
  <si>
    <t>Enter the daily rate for a single staff worker working on maintenance (Enter '0' if not applicable)</t>
  </si>
  <si>
    <t>Enter the daily rate for a single staff worker working on software testing (Enter '0' if not applicable)</t>
  </si>
  <si>
    <t>Enter the daily rate for a single staff worker working on project management (Enter '0' if not applicable)</t>
  </si>
  <si>
    <t>Enter the daily rate for a single staff worker working on governance (Enter '0' if not applicable)</t>
  </si>
  <si>
    <t>Enter the daily rate for a single staff worker working on monitoring &amp; evaluation  (Enter '0' if not applicable)</t>
  </si>
  <si>
    <t>Enter the daily rate for a single staff worker working on procurement (Enter '0' if not applicable)</t>
  </si>
  <si>
    <t>Enter the daily rate for a single helpdesk support staff worker working on helpdesk support</t>
  </si>
  <si>
    <t>Community health workers</t>
  </si>
  <si>
    <t>Enter annual replacement rate for servers</t>
  </si>
  <si>
    <t>Enter annual replacement rate for routers</t>
  </si>
  <si>
    <t>Enter annual replacement rate for desktop computers</t>
  </si>
  <si>
    <t>Enter annual replacement rate for other equipment</t>
  </si>
  <si>
    <t>Total number of sites</t>
  </si>
  <si>
    <t>Development (one-time costs)</t>
  </si>
  <si>
    <t>Deployment (one-time costs)</t>
  </si>
  <si>
    <r>
      <t xml:space="preserve">Enter any </t>
    </r>
    <r>
      <rPr>
        <b/>
        <sz val="11"/>
        <rFont val="Calibri"/>
        <family val="2"/>
        <scheme val="minor"/>
      </rPr>
      <t>other</t>
    </r>
    <r>
      <rPr>
        <sz val="11"/>
        <rFont val="Calibri"/>
        <family val="2"/>
        <scheme val="minor"/>
      </rPr>
      <t xml:space="preserve"> project planning and scoping costs (Enter '0' if not applicable)</t>
    </r>
  </si>
  <si>
    <r>
      <t xml:space="preserve">Enter any </t>
    </r>
    <r>
      <rPr>
        <b/>
        <sz val="11"/>
        <rFont val="Calibri"/>
        <family val="2"/>
        <scheme val="minor"/>
      </rPr>
      <t xml:space="preserve">other costs </t>
    </r>
    <r>
      <rPr>
        <sz val="11"/>
        <rFont val="Calibri"/>
        <family val="2"/>
        <scheme val="minor"/>
      </rPr>
      <t>for</t>
    </r>
    <r>
      <rPr>
        <b/>
        <sz val="11"/>
        <rFont val="Calibri"/>
        <family val="2"/>
        <scheme val="minor"/>
      </rPr>
      <t xml:space="preserve"> </t>
    </r>
    <r>
      <rPr>
        <sz val="11"/>
        <rFont val="Calibri"/>
        <family val="2"/>
        <scheme val="minor"/>
      </rPr>
      <t>needs assessment and requirement specifications (Enter '0' if not applicable)</t>
    </r>
  </si>
  <si>
    <t>Enter the type of end-user training being used (select from dropdown)</t>
  </si>
  <si>
    <t>Refresher Training</t>
  </si>
  <si>
    <t>Training-of-Trainers</t>
  </si>
  <si>
    <t>Enter number of days per refresher training session per year</t>
  </si>
  <si>
    <t>End-user training</t>
  </si>
  <si>
    <t>year 1</t>
  </si>
  <si>
    <t>year 2</t>
  </si>
  <si>
    <t>year 3</t>
  </si>
  <si>
    <t>year 4</t>
  </si>
  <si>
    <t>year 5</t>
  </si>
  <si>
    <t>$35 - 200 USD per unit</t>
  </si>
  <si>
    <t>Enter cost of training master trainers</t>
  </si>
  <si>
    <t>Calculated by multiplying the infrastructure replacement rate by yearly infrastructure costs identified in the Input - Deployment Costs tab.</t>
  </si>
  <si>
    <t>Calculated by multiplying replacement rate for other equipment by yearly costs identified in the Input - Deployment Costs tab.</t>
  </si>
  <si>
    <t>Calculated by multiplying replacement rate for tablets/mobiles by yearly costs identified in the Input - Deployment Costs tab.</t>
  </si>
  <si>
    <t>Calculated by multiplying replacement rate for desktop computers by yearly costs identified in the Input - Deployment Costs tab.</t>
  </si>
  <si>
    <t>Calculated by multiplying replacement rate for router by yearly costs identified in the Input - Deployment Costs tab.</t>
  </si>
  <si>
    <t>Calculated by multiplying replacement rate for servers by yearly costs identified in the Input - Deployment Costs tab.</t>
  </si>
  <si>
    <t>$200 USD per router</t>
  </si>
  <si>
    <t>Helpdesk equipment replacement costs</t>
  </si>
  <si>
    <t>Modifications</t>
  </si>
  <si>
    <t>License</t>
  </si>
  <si>
    <t>Enter number of users requiring new deployment training each year</t>
  </si>
  <si>
    <r>
      <t>The digital health Total Cost of Ownership (TCO) tool is a Microsoft Excel model developed by PATH to estimate the total cost of developing, deploying and operating a digital health intervention in low digital health maturity markets over a five year period. The tool is for informational, non-commercial use only. The accuracy, completeness, adequacy, or currency of the tool is not warranted or guaranteed. The results of the tool are dependent on the assumptions and values entered by users, and users of the tool alone</t>
    </r>
    <r>
      <rPr>
        <sz val="8"/>
        <color theme="1"/>
        <rFont val="Calibri"/>
        <family val="2"/>
        <scheme val="minor"/>
      </rPr>
      <t> </t>
    </r>
    <r>
      <rPr>
        <sz val="11"/>
        <color rgb="FF000000"/>
        <rFont val="Arial"/>
        <family val="2"/>
      </rPr>
      <t xml:space="preserve"> are responsible for the results generated by the tool. Users agree not to use or rely on the tool as a substitute for or to the exclusion of consultation with independent professionals or experts.</t>
    </r>
  </si>
  <si>
    <t>Will the implementation share equipment with another project? (Select 'Yes' or 'No')</t>
  </si>
  <si>
    <t>Number of sessions</t>
  </si>
  <si>
    <t>Trainers: [(per diems + daily rate) * no. of trainers * no. of training days] * no. of sessions</t>
  </si>
  <si>
    <t>Other training costs: (training costs per day * no. of training days) * no. of sessions</t>
  </si>
  <si>
    <t>Trainees: (per diem * no. of trainees) * no. of training days</t>
  </si>
  <si>
    <t>Year 5 user training delivery costs (excluding cost of developing training material or TOT costs)</t>
  </si>
  <si>
    <t>Year 1 user training delivery costs (excluding cost of developing training material or TOT costs)</t>
  </si>
  <si>
    <t>Year 3 user training delivery costs (excluding cost of developing training material or TOT costs)</t>
  </si>
  <si>
    <t>Year 2 user training delivery costs (excluding cost of developing training material or TOT costs)</t>
  </si>
  <si>
    <t>Enter number of days per training session required for initial deployment</t>
  </si>
  <si>
    <t>Year 1 refresher training delivery costs (excluding cost of developing training material)</t>
  </si>
  <si>
    <t>Year 5 refresher training delivery costs (excluding cost of developing training material)</t>
  </si>
  <si>
    <t>Year 4 refresher training delivery costs (excluding cost of developing training material)</t>
  </si>
  <si>
    <t>Year 3 refresher training delivery costs (excluding cost of developing training material)</t>
  </si>
  <si>
    <t>Year 2 refresher training delivery costs (excluding cost of developing training material)</t>
  </si>
  <si>
    <t>Total Recurring (Operations) Costs</t>
  </si>
  <si>
    <t>This tool is only intended to be used in countries with lower digital health market maturity (1 - 3). Only those countries are included in the dropdown option.
Source for Digital Square Digital Health Market Maturity: https://digitalsquare.org/market-analytics</t>
  </si>
  <si>
    <t xml:space="preserve">Entry should be a number. </t>
  </si>
  <si>
    <t>The server hosting model is the infrastructure where the system’s central software resides. This TCO tool assumes the implementation will be hosted on a local server (at the site of the user), offsite at a central data center, or on a third-party cloud service (such as Amazon Web Services) with adequate stability, security, and infrastructure</t>
  </si>
  <si>
    <r>
      <t xml:space="preserve">Enter only the number of new sites where the intervention is deployed each year. The model will calculate costs for the total number of sites for the respective years. For example, if the intervention is deployed at 100 sites in Year 1 and at 300 </t>
    </r>
    <r>
      <rPr>
        <i/>
        <sz val="11"/>
        <color theme="1"/>
        <rFont val="Calibri (Body)_x0000_"/>
      </rPr>
      <t xml:space="preserve">additional new </t>
    </r>
    <r>
      <rPr>
        <i/>
        <sz val="11"/>
        <color theme="1"/>
        <rFont val="Calibri"/>
        <family val="2"/>
        <scheme val="minor"/>
      </rPr>
      <t xml:space="preserve">sites in Year 2, operating costs for Year 2 will take into account 400 sites.  </t>
    </r>
  </si>
  <si>
    <t>Labor requirements for project management may include: change management, establishing a governance structure (management team, core working group, steering committees), creating and evaluating RFPs, negotiating with vendors, and contracting partners. Consider whether the following typical project management staff are needed: Project managers, solution advisors, program managers, M&amp;E staff, a country director, a digital solutions director, and administrative staff.</t>
  </si>
  <si>
    <t>Level of effort depends on implementation but typical requirements are 1 - 2 FTE for 2 - 12 months depending on complexity of project. Enter the total no. of days for all personnel (e.g. if 2 staff are working 60 days each,  level of effort is 120)</t>
  </si>
  <si>
    <t xml:space="preserve">Typical requirements: 1 -2 FTE to conduct project scoping for &lt; 1 year with monthly travel for 4 -5 days to sub-national implementation sites. Be sure to calculate the following based on number of workshops and number of days per workshop: 
- Per diem
- Transportation costs </t>
  </si>
  <si>
    <t>Level of effort depends on implementation but typical requirements are 1 - 2 FTE for 2 - 6 months depending on complexity of project. Enter the total no. of days for all personnel (e.g. if 2 staff are working 60 days each,  level of effort is 120)</t>
  </si>
  <si>
    <t>May include other resources such as direct or indirect overhead, documentation activities, etc.</t>
  </si>
  <si>
    <t>Level of effort depends on implementation but typical requirements are 1 - 3 FTE software developers for 2 - 9 months depending on complexity of project. For language translation/customization, additional 1 - 3 weeks LTE. Enter the total no. of days for all personnel (e.g. if 2 staff are working 60 days each,  level of effort is 120)</t>
  </si>
  <si>
    <t xml:space="preserve">Includes labor for gaps analysis, assessing integration, data modeling, requirements development, site and server assessment, and documentation.  </t>
  </si>
  <si>
    <t>Typical requirements: 2 -3 workshops over 1 -3 days per workshop with 20 - 40 participants to gather feedback/input and then finalize and build consensus.
Be sure to calculate the following based on number of workshops and number of days per workshop: 
- Per diem per participant
- Cost of facilitators (typically 1 facilitator per 20 participants)
- Accommodation per participant traveling to workshop
- Travel costs per participant traveling to workshop
- Meals per day
- Venue per day</t>
  </si>
  <si>
    <t xml:space="preserve">May include direct and indirect overhead costs. </t>
  </si>
  <si>
    <t>Includes capital expenditures associated with deploying the solution to a set number of locations. Deployment costs are typically characterized as “startup” costs, although the actual deployment activity may occur over multiple years (typically the length of the implementation contract term) as the system is scaled. Cost categories include one-time costs for equipment (e.g., laptops, phones), infrastructure (e.g., backup generators, hosting, internet connectivity, power), new deployment training, implementation services, further interoperability updates and system integrations, and further software development to address issues and change requests encountered during the deployment time period.</t>
  </si>
  <si>
    <t>Includes centralized capital equipment (e.g., servers, storage devices, developer and program manager laptops, routers, switches), distributed equipment (e.g., desktops, tablets, mobile phones for frontline health workers), security equipment (e.g., secure boxes, locks, other equipment to secure devices), redundancy and disaster recovery (e.g., additional costs or backup equipment).</t>
  </si>
  <si>
    <t xml:space="preserve">Server costs will depend on the server type. Consider costs for application, service, and database servers. </t>
  </si>
  <si>
    <t>Include servers if it is a self-hosted deployment. No servers are necessary if the deployment is hosted on cloud-based server. Typical requirements: 2 servers per national and regional hospital.</t>
  </si>
  <si>
    <t>Typical requirements: 1 router per implementation site requiring internet connectivity, typically national and regional hospitals.</t>
  </si>
  <si>
    <t>Be sure to enter this cost inclusive of cost of device, charger, and SIM card/registration, if needed.</t>
  </si>
  <si>
    <t>Using existing tablets/mobile phones already used by healthcare workers maybe feasible and will reduce deployment costs.</t>
  </si>
  <si>
    <t>May include costs for additional equipment not costed for, such as storage devices, switches, security equipment, backup equipment for redundancy and disaster recovery.</t>
  </si>
  <si>
    <t>Include electricity, data center hosting, and connectivity (e.g., internet access, SMS costs), generators or solar charges.</t>
  </si>
  <si>
    <t xml:space="preserve">If a government allocates infrastructure costs in annual health system budgets or if implementations utilize existing infrastructure, infrastructure costs may be omitted from deployment budgets. Infrastructure costs may be shared across more than one project. </t>
  </si>
  <si>
    <t>May include any other infrastructure related equipment not costed for.</t>
  </si>
  <si>
    <t>Includes initial configuration of settings and user accounts and data configuration (migration of data and setup of custom schemes and/or data types).</t>
  </si>
  <si>
    <t>Enter the total no. of days for all personnel (e.g. if 2 staff are working 60 days each,  level of effort is 120. Consider level of effort relative to the number of new sites where the intervention will be deployed each year)</t>
  </si>
  <si>
    <t>Labor of software staff for communication and standards compliance between systems and configuration. Integration and interoperability costs may also occur during initial software development or in the operational phase during maintenance and testing. If the software is not capable of communicating with existing software, adaptation is covered under software customization.</t>
  </si>
  <si>
    <t>Includes development labor associated with major modifications and customizations, scope and ongoing product expansion (adding features to support new functionality), report generation.</t>
  </si>
  <si>
    <t>Labor of software staff for major modifications, scope expansion, ongoing product expansion (adding features to support new functionality), and report generation.</t>
  </si>
  <si>
    <t>Includes testing the implementation for functionality and stability to prepare for scale. May include end-user experience tests, end-user acceptance test, functionality tests in real-life settings, and load (or stress/volume) tests. Testing can identify and address issues early in software delivery which significantly decreases the costs of fixing issues later in implementation.</t>
  </si>
  <si>
    <t>Costs primarily driven by labor for developers, project administrators, and users. Costs depend on type of software implemented. For example, commercial-off-the-shelf solutions and software-as-a-service may include support services, reducing the ongoing cost of testing.</t>
  </si>
  <si>
    <t xml:space="preserve">Includes development of a training framework, Standard Operating Procedure (SOP), training curriculum and material, eLearning platform, and a train-the-trainers program, as applicable. </t>
  </si>
  <si>
    <t>Costs are driven largely by the delivery approach (e.g., eLearning, classroom-based training, on-the-job training). For example, on-the-job training costs much less than classroom-based training.</t>
  </si>
  <si>
    <t xml:space="preserve">Suggested input reflects number of sites entered by user, if applicable. </t>
  </si>
  <si>
    <t>If a government allocates equipment costs in annual health system budgets or if implementations utilize existing equipment, equipment costs may be omitted from deployment budgets. Equipment costs may also be shared across more than one project.</t>
  </si>
  <si>
    <t>$1,500 USD per server</t>
  </si>
  <si>
    <t>If the system is a global good, costs are typically open source with zero licensing fees. Supporting software (e.g. databases, operating systems) may require licensing fees.</t>
  </si>
  <si>
    <t>Includes recurring software licensing costs if applicable.</t>
  </si>
  <si>
    <t>Includes recurring data and voice service fees or bundles.</t>
  </si>
  <si>
    <t>Includes all elements to deliver refresher training and staff turnover training at set intervals. Key activities including trainer time, training materials, and any required travel.</t>
  </si>
  <si>
    <t>Includes labor for operating the system such as system administrators, database administrators, business analysts, as well as a support team that provides ongoing end user support.</t>
  </si>
  <si>
    <t>May be the same or different approach as the new deployment training. Costs are driven largely by the delivery approach (e.g., eLearning, classroom-based training, on-the-job training). For example, on-the-job training costs much less than classroom-based training.</t>
  </si>
  <si>
    <t xml:space="preserve">May or may not require budgeting as these services exist within the health system environments and may be shared. Typical requirements: $4 per user per month utilizing a tablet or mobile phone. Costs may vary per country but could be as low as $1/month per mobile phone user or $7/month per tablet user. Make sure to enter this as an ANNUAL cost. </t>
  </si>
  <si>
    <t>Includes capital equipment (e.g. laptops, mobile phones, tablets), costs for redundancy (e.g., additional costs or backup equipment).</t>
  </si>
  <si>
    <t xml:space="preserve">Includes maintaining the system (e.g. patches, downtime, scheduled or unscheduled), final SLAs, and maintenance contracts. </t>
  </si>
  <si>
    <t>Costs primarily driven by labor for system administrators, database analysts, and business analysts. Costs are higher where a solution is not fit-for-purpose in low-resource contexts and where major software releases and requirements to upgrade to new versions of the technology are necessary. For example, commercial-off-the-shelf solutions and software-as-a-service may include support services, reducing the ongoing cost of maintenance.</t>
  </si>
  <si>
    <t>Includes testing which can be conducted as discrete scheduled activities for the central system environment including load, security, disaster recovery, and redundancy testing.</t>
  </si>
  <si>
    <t>Costs primary driven by labor for system administrators, database analysts, and business analysts. Costs depend on type of software implemented. For example, commercial-off-the-shelf solutions and software-as-a-service may include support services, reducing the ongoing cost of testing.</t>
  </si>
  <si>
    <t>Includes transferring ownership from the implementation vendor(s) to the government. May include costs associated with transfer of data hosting.</t>
  </si>
  <si>
    <t xml:space="preserve">Includes cost associated with ongoing management of the project. </t>
  </si>
  <si>
    <t>Costs usually cover the labor for a project manager role.</t>
  </si>
  <si>
    <t>Includes ad hoc and routine transportation and communications between core staff for project management and execution.</t>
  </si>
  <si>
    <t>Typical requirements: 2  days of travel per month for 1 - 2 FTE. Costs will depend on the scale of deployment and number of sites to travel to.</t>
  </si>
  <si>
    <t>May include labor costs for establishing documents/plans and workshops to align and coordinate governance.</t>
  </si>
  <si>
    <t xml:space="preserve">Includes monitoring and evaluating program efficacy and impact. </t>
  </si>
  <si>
    <t>May include labor costs for creating reporting plans, metrics collection, writing reports, liaising with donors / funders. Monitoring &amp; evaluation activities may be integrated into the responsibilities of project management staff and represented in the project management cost category, in which case costs should not be entered here.</t>
  </si>
  <si>
    <t>Includes contracting, including identifying requirements, creating RFP, evaluating RFP, and contract negotiation with software implementers and hardware vendors.</t>
  </si>
  <si>
    <t>Typically covers the labor for procurement activities.</t>
  </si>
  <si>
    <t>Trainee costs: (per diem * no. of trainees) * no. of training days</t>
  </si>
  <si>
    <t>Trainer costs: [(per diem + daily rate) * no. of trainers * no. of training days] * no. of sessions</t>
  </si>
  <si>
    <t xml:space="preserve">Includes labor for communication and standards compliance between systems and configuration. </t>
  </si>
  <si>
    <t>Enter the level of effort (no. of days) needed for integration and interoperability</t>
  </si>
  <si>
    <t>Enter number of sites or users for which licensing costs apply</t>
  </si>
  <si>
    <t>Enter number of new sites or users requiring data/voice per year</t>
  </si>
  <si>
    <t>Enter the total cost of developing the refresher training (Enter '0' if not applicable)</t>
  </si>
  <si>
    <t>Enter number of users participating in refresher training</t>
  </si>
  <si>
    <t>Enter the level of effort (no. of days) needed for helpdesk support</t>
  </si>
  <si>
    <t>Enter the level of effort (no. of days) needed for maintenance</t>
  </si>
  <si>
    <t>Enter the level of effort (no. of days) needed for software testing</t>
  </si>
  <si>
    <t>Enter the level of effort (no. of days) needed for project management</t>
  </si>
  <si>
    <t>Enter the level of effort (no. of days) needed for governance</t>
  </si>
  <si>
    <t>Enter the level of effort (no. of days) needed for monitoring &amp; evaluation</t>
  </si>
  <si>
    <t>Enter the level of effort (no. of days) needed for procurement</t>
  </si>
  <si>
    <t>No. of servers replaced over the 5-year period</t>
  </si>
  <si>
    <t>No. of routers replaced over the 5-year period</t>
  </si>
  <si>
    <t>No. of desktop computers replaced over the 5-year period</t>
  </si>
  <si>
    <t>No. of tablets/mobiles replaced over the 5-year period</t>
  </si>
  <si>
    <t>No. of solar chargers replaced over the 5-year period</t>
  </si>
  <si>
    <t>Shown to give an indication of number of equipment being replaced over the 5-year period. Equipment budgeted under 'other equipment' costs are not shown here since the input for other equipment was a cost and not quantity. However, the input for annual replacement rate for other equipment is used to calculate the total replacement cost for other equipment.</t>
  </si>
  <si>
    <t>Includes ongoing costs to replace infrastructure such as solar chargers as they become obsolete or non-functional. Replacement rate is based on expected useful life. For example, if the expected useful life is 4 years, replacement rate is 1/4 = 25%.
Annual replacement rate is applied to the total number of equipment units in the system each year. For example, if twenty units of equipment are added each year, in year one the replacement rate is applied to twenty units of equipment while in year two it is applied to 40 units of equipment and in year three it is applied to 60 units of equipment and so on.</t>
  </si>
  <si>
    <t>Includes ongoing costs to replace equipment as it becomes obsolete or non-functional. Replacement rate is based on expected useful life. For example, if the expected useful life is 4 years, replacement rate is 1/4 = 25%.
Annual replacement rate is applied to the total number of equipment units in the system each year. For example, if twenty units of equipment are added each year, in year one the replacement rate is applied to twenty units of equipment while in year two it is applied to 40 units of equipment and in year three it is applied to 60 units of equipment and so on.</t>
  </si>
  <si>
    <t xml:space="preserve">Depending on where the system is deployed, may be incurred as a per user cost or per site cost. These costs may be shared across other programs or health verticals. </t>
  </si>
  <si>
    <t>$50-100 per person per day</t>
  </si>
  <si>
    <t>May include cost of conducting a user acceptance testing workshop or on-site user testing. For example, travel, facility rentals, and per diems for facilitators and users. Typical requirements: 1 facilitator should be present for every 20 participants assumed. Costs should factor in number of days, number of attendees, and location of testing.</t>
  </si>
  <si>
    <t xml:space="preserve">Enter the level of effort (no. of days) needed for software development and adaptation for each year </t>
  </si>
  <si>
    <t>Enter the number of servers that need to be purchased for each year</t>
  </si>
  <si>
    <t>Enter the number of routers that need to be purchased for each year</t>
  </si>
  <si>
    <t>Enter the number of desktop computers that need to be purchased for each year</t>
  </si>
  <si>
    <t>Enter the number of tablets or mobile phones that need to be purchased for each year</t>
  </si>
  <si>
    <r>
      <t xml:space="preserve">Enter total cost of </t>
    </r>
    <r>
      <rPr>
        <b/>
        <sz val="11"/>
        <rFont val="Calibri"/>
        <family val="2"/>
        <scheme val="minor"/>
      </rPr>
      <t xml:space="preserve">any other </t>
    </r>
    <r>
      <rPr>
        <sz val="11"/>
        <rFont val="Calibri"/>
        <family val="2"/>
        <scheme val="minor"/>
      </rPr>
      <t>equipment that needs to be purchased for each year (Enter '0' if not applicable):</t>
    </r>
  </si>
  <si>
    <t>Enter the number of solar chargers or generators that needs to be purchased each year</t>
  </si>
  <si>
    <r>
      <t xml:space="preserve">Enter total cost of </t>
    </r>
    <r>
      <rPr>
        <b/>
        <sz val="11"/>
        <rFont val="Calibri"/>
        <family val="2"/>
        <scheme val="minor"/>
      </rPr>
      <t>other infrastructure</t>
    </r>
    <r>
      <rPr>
        <sz val="11"/>
        <rFont val="Calibri"/>
        <family val="2"/>
        <scheme val="minor"/>
      </rPr>
      <t xml:space="preserve"> that needs to be purchased each year (Enter '0' if not applicable)</t>
    </r>
  </si>
  <si>
    <r>
      <t xml:space="preserve">Enter total cost of </t>
    </r>
    <r>
      <rPr>
        <b/>
        <sz val="11"/>
        <rFont val="Calibri"/>
        <family val="2"/>
        <scheme val="minor"/>
      </rPr>
      <t xml:space="preserve">other </t>
    </r>
    <r>
      <rPr>
        <sz val="11"/>
        <rFont val="Calibri"/>
        <family val="2"/>
        <scheme val="minor"/>
      </rPr>
      <t>implementation service costs required over the 5-year deployment for each year (Enter '0' if not applicable)</t>
    </r>
  </si>
  <si>
    <t>Enter the level of effort (no. of days) needed for testing for each year</t>
  </si>
  <si>
    <t>Enter costs of conducting testing with users for each year (Enter '0' if not applicable)</t>
  </si>
  <si>
    <t>Enter the total cost of developing material for initial training for each year (Enter '0' if not applicable)</t>
  </si>
  <si>
    <r>
      <t xml:space="preserve">Note that the Microsoft Excel-based workbook is locked to ease the use of the model and limit erroneous data entry by disabling locked cells. Should you wish to unlock the tool for advanced use or modification, please use the password </t>
    </r>
    <r>
      <rPr>
        <b/>
        <sz val="11"/>
        <color theme="1"/>
        <rFont val="Arial"/>
        <family val="2"/>
      </rPr>
      <t>“</t>
    </r>
    <r>
      <rPr>
        <b/>
        <i/>
        <sz val="11"/>
        <color theme="1"/>
        <rFont val="Arial"/>
        <family val="2"/>
      </rPr>
      <t>TCOv1</t>
    </r>
    <r>
      <rPr>
        <b/>
        <sz val="11"/>
        <color theme="1"/>
        <rFont val="Arial"/>
        <family val="2"/>
      </rPr>
      <t>”</t>
    </r>
    <r>
      <rPr>
        <sz val="11"/>
        <color theme="1"/>
        <rFont val="Arial"/>
        <family val="2"/>
      </rPr>
      <t>. It is strongly recommended to keep the workbook locked prior to use.</t>
    </r>
  </si>
  <si>
    <t>•  Additional suggested sources are provided in each Input sheet and can be viewed by clicking on the '+' sign on the top right of each sheet after unlocking the sheet.</t>
  </si>
  <si>
    <t>Includes startup, one-time-only planning and development activities such as costs related to human resources, workshops, requirements gathering, project management and overhead, and software development.</t>
  </si>
  <si>
    <t xml:space="preserve"> In some instances, the project scoping and planning costs have already been invested in order to lay the foundation for a multi-year implementation. If this is the case, and a software has already been identified, the implementation may not require costing for this phase and 'No' should be entered as the user input.</t>
  </si>
  <si>
    <t>May not require budgeting if data/voice services exist within the health system environment and can be shared. Costs may vary per country but could be as low as $1/month per mobile phone user or $7/month per tablet user. Make sure to enter this as an ANNUAL cost.</t>
  </si>
  <si>
    <t>Enter annual data/voice cost for a single site or user</t>
  </si>
  <si>
    <t>Includes ongoing costs to replace equipment as it becomes obsolete or non-functional. Can be estimated based on expected useful life.
Annual replacement rate is applied to the total number of equipment units in the system each year. For example, if twenty units of equipment are added each year, in year one the replacement rate is applied to twenty units of equipment while in year two it is applied to 40 units of equipment and in year three it is applied to 60 units of equipment and so on.</t>
  </si>
  <si>
    <t>Enter total cost of any equipment that needs to be purchased for helpdesk support staff for each year (Enter '0' if not applicable)</t>
  </si>
  <si>
    <t>&lt;-- Expand to see intermediate calculations for refresher training (using password provided in User Guide tab)</t>
  </si>
  <si>
    <t>&lt;-- Expand to see intermediate calculations for new deployment training (using password provided in User Guide tab).</t>
  </si>
  <si>
    <t>•  Costs will vary across products and countries but the proportion of the total costs allocated for development, deployment, and operations should be similar across digital health interventions.</t>
  </si>
  <si>
    <r>
      <rPr>
        <sz val="11"/>
        <rFont val="Calibri"/>
        <family val="2"/>
        <scheme val="minor"/>
      </rPr>
      <t xml:space="preserve">•  </t>
    </r>
    <r>
      <rPr>
        <u/>
        <sz val="11"/>
        <color theme="10"/>
        <rFont val="Calibri"/>
        <family val="2"/>
        <scheme val="minor"/>
      </rPr>
      <t>Understanding Total Cost of Ownership for Digital Health</t>
    </r>
    <r>
      <rPr>
        <sz val="11"/>
        <rFont val="Calibri"/>
        <family val="2"/>
        <scheme val="minor"/>
      </rPr>
      <t>, a reference document published by VitalWave and Digital Square based on primary data collected from a number of digital health interventions for digital supply chain systems.</t>
    </r>
  </si>
  <si>
    <t>ADB = Asian Development Bank
DPG = Digital public good
DUP = PATH Data Use Partnership
FTE = Full time employee
ICT = Information and communication technology
RFP = Request for proposal
SIL = Standards and Operability Lab - Asia
SMS = Short message service
SLA = Service-level agreement
SOP = Standard Operating Procedure
TCO = Total Cost of Ownership 
VW = VitalWave
WHO = World Health Organization</t>
  </si>
  <si>
    <t>•  All costs are based on the scale of deployment every year with each input tab allowing users to enter cost drivers (such as number of devices, level of effort, etc.) by year. One-time costs (Development and Deployment costs) are incurred in a given year if new sites/users are added to the deployment. Operations costs are incurred every year depending on the cumulative scale of deployment in the preceding years. The TCO tool does not currently account for the number of months in a given year for which the deployment may be active and estimates costs for the full year.</t>
  </si>
  <si>
    <t>Enter the daily rate for a single staff worker working full time on software development</t>
  </si>
  <si>
    <t xml:space="preserve">Includes labor required to develop, adapt, customize, and localize the software for country-level project needs and functionality. These labor costs will vary significantly depending on whether the software is a full custom configuration or customization/adaptation of a digital public good. </t>
  </si>
  <si>
    <t xml:space="preserve">Includes cost associated with labor (programmatic, technical, and administrative), travel for meetings and workshops, and organizational overhead. Exclude any labor costs associated with needs assessment or software development activities.  </t>
  </si>
  <si>
    <t>Typical requirements: 1-2 computer per national, regional and district hospital. Using existing desktop computers maybe feasible and will reduce deployment costs.</t>
  </si>
  <si>
    <t>Using existing solar chargers/generators maybe feasible and will reduce deployment costs. Typical requirement: 1 generator per small health facility and/or 1 solar charger per user.</t>
  </si>
  <si>
    <t>Labor of software staff for configuration of settings/user accounts, migration of data, and setup for custom schemes/data types. Some deployments may not require implementation services; in such cases no costs should be entered.</t>
  </si>
  <si>
    <t>Enter the level of effort (number of days) needed for the implementation services for each year</t>
  </si>
  <si>
    <t>Training-of-trainers is a one-time activity in Year 1 and will cover all functionality offered by the digital health intervention. Master trainers subsequently train users across various levels of the health system throughout subsequent scale-up stages of the project.</t>
  </si>
  <si>
    <t>Includes labor associated with developing a training program, curricula and material. Cost of developing training is independent of number of sites but will vary if new functionality is added to the digital health intervention. Material developed in Year 1 may be used for subsequent years, unless new features are developed necessitating additional training material development.</t>
  </si>
  <si>
    <t>Will the implementation utilize existing infrastructure or share infrastructure with another project? (Enter 'Yes' or 'No')</t>
  </si>
  <si>
    <t>The cost factor may be greater than the number of sites. For example, if 2 users from the same site are charged fees, then enter number of users.</t>
  </si>
  <si>
    <t>Refresher training could follow a similar or a different approach as the new deployment training. Costs are driven largely by the delivery approach (e.g., eLearning, classroom-based training, on-the-job training). For example, on-the-job training costs much less than classroom-based training.</t>
  </si>
  <si>
    <t>Refresher trainings maybe necessary for users that have difficulty using the digital health intervention as intended or when new functionality is added. Cost of developing refresher trainings is independent of number of users and material developed for new deployment training may be reused.</t>
  </si>
  <si>
    <t>Refresher trainings maybe necessary for users that have difficulty using the digital health intervention as intended or when new functionality is added. Suggested input reflects number of sites entered by user, if applicable. Consider the total number of sites where the digital health intervention has been deployed when entering number of users requiring refresher training.</t>
  </si>
  <si>
    <t>Year 1 refresher training development + delivery costs</t>
  </si>
  <si>
    <t>Year 2 refresher training development + delivery costs</t>
  </si>
  <si>
    <t>Year 3 refresher training development + delivery costs</t>
  </si>
  <si>
    <t>Year 4 refresher training development + delivery costs</t>
  </si>
  <si>
    <t>Year 5 refresher training development + delivery costs</t>
  </si>
  <si>
    <t xml:space="preserve">Costs incurred for reoccurring helpdesk support depend on 1) who is providing support (government staff, implementing partners, or third party vendors), 2) what level of support is provided (level one – basic troubleshooting, level two – complex troubleshooting,  level three – last line of support for bugs and other issues), 3) number of end-users and computer literacy of end-users, 4) whether shared helpdesk across multiple digital health interventions is available, and 5) type of support model (for example, a lower cost model could include WhatsApp for end-users to report issues versus a formal helpdesk staffed during regular business hours, with a toll-free number outside of business hours). </t>
  </si>
  <si>
    <t>Transfer of ownership costs may not be applicable to all digital health interventions.</t>
  </si>
  <si>
    <t>Includes resource or time associated with overall digital health governance in government ministry, including developing visions, national guidelines, strategic plans, and implementation.</t>
  </si>
  <si>
    <t>Includes costs associated with ongoing operation of a digital health intervention. Typically includes annual costs for hardware replacement, data and voice services, licenses and subscriptions, recurrent or refresher training, helpdesk support, maintenance and testing, project management, governance, monitoring and evaluation, and procurement services.</t>
  </si>
  <si>
    <t>Costs associated with labor, travel, workshops, project management and overhead, and other programmatic, technical, and administrative  costs to carry out planning and development activities.</t>
  </si>
  <si>
    <t xml:space="preserve">Costs associated with purchasing new centralized capital equipment, distributed equipment, security equipment, and redundancy and backup equipment for disaster recovery. </t>
  </si>
  <si>
    <t xml:space="preserve">Costs associated with recurring software licensing costs. </t>
  </si>
  <si>
    <t>Costs associated with recurring data and voice service fees or bundles.</t>
  </si>
  <si>
    <t>Costs of labor and resources for overall digital health governance including developing visions, guidelines, strategic plans, and updated implementation plans.</t>
  </si>
  <si>
    <r>
      <rPr>
        <b/>
        <sz val="11"/>
        <rFont val="Calibri"/>
        <family val="2"/>
        <scheme val="minor"/>
      </rPr>
      <t>Instructions:</t>
    </r>
    <r>
      <rPr>
        <sz val="11"/>
        <rFont val="Calibri"/>
        <family val="2"/>
        <scheme val="minor"/>
      </rPr>
      <t xml:space="preserve"> DO NOT</t>
    </r>
    <r>
      <rPr>
        <sz val="11"/>
        <color theme="1" tint="0.14999847407452621"/>
        <rFont val="Calibri"/>
        <family val="2"/>
        <scheme val="minor"/>
      </rPr>
      <t xml:space="preserve"> use this tab if Input tabs are incomplete. This tab shows the cost of the digital health intervention over a 5-year period in a summarized form. This tab should only be used after the Input tabs and Guidance - Benchmarking tab have been filled.</t>
    </r>
  </si>
  <si>
    <t>Compare your digital health intervention cost to benchmark digital health intervention</t>
  </si>
  <si>
    <t>User digital health intervention</t>
  </si>
  <si>
    <t>Benchmark digital health intervention</t>
  </si>
  <si>
    <t>% of total line item committed</t>
  </si>
  <si>
    <t>Enter number of participants that can be trained in one classroom-based training session</t>
  </si>
  <si>
    <t>Enter number of trainers per classroom-based training session, if applicable</t>
  </si>
  <si>
    <t>Enter average daily rate for each trainer per classroom-based training, if applicable</t>
  </si>
  <si>
    <t>Enter per diem cost for each trainer, if applicable</t>
  </si>
  <si>
    <t>Enter any other training costs per day</t>
  </si>
  <si>
    <t>Year 1 user training delivery costs + developing costs</t>
  </si>
  <si>
    <t>Year 2 user training delivery costs + developing costs</t>
  </si>
  <si>
    <t>Year 3 user training delivery costs + developing costs</t>
  </si>
  <si>
    <t>Year 4 user training delivery costs + developing costs</t>
  </si>
  <si>
    <t>Year 5 user training delivery costs + developing costs</t>
  </si>
  <si>
    <r>
      <rPr>
        <sz val="11"/>
        <rFont val="Calibri (Body)_x0000_"/>
      </rPr>
      <t>•  The</t>
    </r>
    <r>
      <rPr>
        <sz val="11"/>
        <rFont val="Calibri"/>
        <family val="2"/>
        <scheme val="minor"/>
      </rPr>
      <t xml:space="preserve"> </t>
    </r>
    <r>
      <rPr>
        <u/>
        <sz val="11"/>
        <color theme="10"/>
        <rFont val="Calibri"/>
        <family val="2"/>
        <scheme val="minor"/>
      </rPr>
      <t>Data Use Partnership Tanzania Digital Health Investment Roadmap 2017 - 2023</t>
    </r>
    <r>
      <rPr>
        <sz val="11"/>
        <rFont val="Calibri (Body)_x0000_"/>
      </rPr>
      <t>, published by PATH based on primary data collected to for a set of  17 priority digital health investment recommendations with specific activities, costs, and timelines.</t>
    </r>
  </si>
  <si>
    <t xml:space="preserve">Version: </t>
  </si>
  <si>
    <t>Feedback or Comments:</t>
  </si>
  <si>
    <t>Outputs</t>
  </si>
  <si>
    <t>Inputs</t>
  </si>
  <si>
    <t>Total Cost of Ownership (TCO)</t>
  </si>
  <si>
    <t>&lt;&lt; Menu</t>
  </si>
  <si>
    <t xml:space="preserve">This TCO tool is intended to be used as a budgetary and benchmarking resource for countries in lower digital health market maturities (levels 1-3, see source below). Budgeting and benchmarking the cost of digital health interventions in higher digital health market maturities is out of the scope of this tool. The TCO tool can be used across a range of digital health interventions to understand the general cost categories and cost breakdown across different phases of implementation. Specifically the TCO can be used to identify the costs associated with digital health interventions that are aimed at a large number of last-mile users (e.g. community health workers) as well as digital health interventions that are tailored toward national-level health system management. The user will be required to estimate and enter costs associated with various components of the digital health intervention, although the TCO does provide some guidance on estimating costs. The TCO is intended to be comprehensive, but it is up to the individual user to determine which costs will be required for their specific implementation. </t>
  </si>
  <si>
    <t>Tabs</t>
  </si>
  <si>
    <r>
      <t xml:space="preserve">If you have any suggestions or feedback on the benchmarking, please email </t>
    </r>
    <r>
      <rPr>
        <b/>
        <sz val="11"/>
        <color theme="1"/>
        <rFont val="Calibri"/>
        <family val="2"/>
        <scheme val="minor"/>
      </rPr>
      <t>DigitalSquareTCO@path.org</t>
    </r>
  </si>
  <si>
    <r>
      <t xml:space="preserve">If you have any questions or feedback on the tool, please email </t>
    </r>
    <r>
      <rPr>
        <b/>
        <sz val="11"/>
        <color theme="1"/>
        <rFont val="Calibri"/>
        <family val="2"/>
        <scheme val="minor"/>
      </rPr>
      <t>DigitalSquareTCO@path.org</t>
    </r>
  </si>
  <si>
    <r>
      <rPr>
        <sz val="10"/>
        <color theme="1"/>
        <rFont val="Arial"/>
        <family val="2"/>
      </rPr>
      <t xml:space="preserve">Created by: </t>
    </r>
    <r>
      <rPr>
        <b/>
        <sz val="10"/>
        <color theme="1"/>
        <rFont val="Arial"/>
        <family val="2"/>
      </rPr>
      <t xml:space="preserve">PATH/Digital Square </t>
    </r>
  </si>
  <si>
    <t>Date:</t>
  </si>
  <si>
    <t>DigitalSquareTCO@path.org</t>
  </si>
  <si>
    <t>Suggested input
 (if  relevant)</t>
  </si>
  <si>
    <r>
      <t>Instructions: DO NOT</t>
    </r>
    <r>
      <rPr>
        <sz val="11"/>
        <color theme="1" tint="0.14999847407452621"/>
        <rFont val="Calibri"/>
        <family val="2"/>
        <scheme val="minor"/>
      </rPr>
      <t xml:space="preserve"> use this tab if Input tabs are incomplete. The Budget Commitments and Gaps tab shows the total cost over a 5-year lifecycle of the digital health intervention with funding commitments from government and other stakeholders. Enter data in the yellow boxes below based on planned or existing commitments for each phase of implementation and cost category. </t>
    </r>
  </si>
  <si>
    <r>
      <rPr>
        <sz val="11"/>
        <rFont val="Calibri"/>
        <family val="2"/>
        <scheme val="minor"/>
      </rPr>
      <t>•  The TCO is based on implementation of a digital public good (DPG) or global good. DPGs are considered open-source software digital health tools that are adaptable to different countries and contexts. For more information on DPGs and global goods,</t>
    </r>
    <r>
      <rPr>
        <sz val="11"/>
        <color theme="10"/>
        <rFont val="Calibri (Body)_x0000_"/>
      </rPr>
      <t xml:space="preserve"> </t>
    </r>
    <r>
      <rPr>
        <u/>
        <sz val="11"/>
        <color theme="10"/>
        <rFont val="Calibri"/>
        <family val="2"/>
        <scheme val="minor"/>
      </rPr>
      <t>please visit the Digital Square website.</t>
    </r>
    <r>
      <rPr>
        <sz val="11"/>
        <color theme="10"/>
        <rFont val="Calibri (Body)_x0000_"/>
      </rPr>
      <t xml:space="preserve"> </t>
    </r>
    <r>
      <rPr>
        <sz val="11"/>
        <rFont val="Calibri"/>
        <family val="2"/>
        <scheme val="minor"/>
      </rPr>
      <t xml:space="preserve">This TCO can still be used for budgeting and benchmarking other software types including commercial off-the-shelf software or Software-as-a-Service models. Costs for these other software types may vary the allocation of costs across different categories. Additional costs such as licensing and subscriptions may also be included and should be added to Implementation Services for Deployment and/or Operations costs. </t>
    </r>
  </si>
  <si>
    <t xml:space="preserve">The success of digital health interventions in low-resource settings depends on a number of factors including governance, technology, policy, and financial resources. Long-term success of digital health interventions is especially reliant on planning for expenditures over the lifecycle of the intervention. This can only be attained when all costs of an intervention are understood and documented. Total cost of ownership (TCO) refers to all costs associated with owning and operating a unit of equipment or technology. This TCO tool is an interactive budgeting and benchmarking resource intended to help health leaders understand and develop more realistic budgets for digital health projects. The tool will focus on identifying common hidden costs and cost drivers and variances, especially as they pertain to the operational costs often overlooked in budgeting. </t>
  </si>
  <si>
    <t>Enter the total no. of days for all personnel (e.g. if 2 staff are working 60 days each,  level of effort is 120). Consider level of effort relative to the number of new sites where the intervention will be deployed each year. 1 FTE typically works 225 days in a year but would vary from country to country.</t>
  </si>
  <si>
    <t>Enter the total no. of days for all personnel (e.g. if 2 staff are working 60 days each,  level of effort is 120). Consider level of effort relative to the number of new sites where the intervention will be deployed each year.</t>
  </si>
  <si>
    <t>Creative Commons – By Attribution (CC-BY-NC) (https://creativecommons.org/licenses/by-nc/4.0/)</t>
  </si>
  <si>
    <t>Cybersecurity costs</t>
  </si>
  <si>
    <t>Cybersecurity (recurring costs)</t>
  </si>
  <si>
    <t>Personnel</t>
  </si>
  <si>
    <t>Contracted services</t>
  </si>
  <si>
    <t>Daily rate</t>
  </si>
  <si>
    <t>Cybersecurity (one-time costs for 'Development' and 'Deployment')</t>
  </si>
  <si>
    <t>Suggested input
 (if relevant)</t>
  </si>
  <si>
    <t>Role</t>
  </si>
  <si>
    <t>Days</t>
  </si>
  <si>
    <t>Role 1</t>
  </si>
  <si>
    <t>Role 2</t>
  </si>
  <si>
    <t>Role 3</t>
  </si>
  <si>
    <t>Role 4</t>
  </si>
  <si>
    <t>Role 5</t>
  </si>
  <si>
    <t>INSERT ADDITIONAL ROWS ABOVE THIS LINE AS NEEDED</t>
  </si>
  <si>
    <t>Role 6</t>
  </si>
  <si>
    <t>Role 7</t>
  </si>
  <si>
    <t>Role 8</t>
  </si>
  <si>
    <t>Role 9</t>
  </si>
  <si>
    <t>Role 10</t>
  </si>
  <si>
    <t>Daily rate (weighted)</t>
  </si>
  <si>
    <t>Daily rate (weighted to proportion of days)</t>
  </si>
  <si>
    <t>Equipment replacement</t>
  </si>
  <si>
    <t>Total cost</t>
  </si>
  <si>
    <t>License 1</t>
  </si>
  <si>
    <t>License 2</t>
  </si>
  <si>
    <t>License 3</t>
  </si>
  <si>
    <t>License 4</t>
  </si>
  <si>
    <t>License 5</t>
  </si>
  <si>
    <t>License 6</t>
  </si>
  <si>
    <t>License 7</t>
  </si>
  <si>
    <t>License 8</t>
  </si>
  <si>
    <t>License 9</t>
  </si>
  <si>
    <t>License 10</t>
  </si>
  <si>
    <t>Enter contracted services costs. (Enter '0' if not applicable.)</t>
  </si>
  <si>
    <t>Service</t>
  </si>
  <si>
    <t>Service 1</t>
  </si>
  <si>
    <t>Service 2</t>
  </si>
  <si>
    <t>Service 3</t>
  </si>
  <si>
    <t>Service 4</t>
  </si>
  <si>
    <t>Service 5</t>
  </si>
  <si>
    <t>Service 6</t>
  </si>
  <si>
    <t>Service 7</t>
  </si>
  <si>
    <t>Service 8</t>
  </si>
  <si>
    <t>Service 9</t>
  </si>
  <si>
    <t>Service 10</t>
  </si>
  <si>
    <t>Other costs</t>
  </si>
  <si>
    <t>Enter software licensing costs. (Enter '0' if not applicable.)</t>
  </si>
  <si>
    <t>Enter annual software licensing costs. (Enter '0' if not applicable.)</t>
  </si>
  <si>
    <t>Enter annual contracted services costs. (Enter '0' if not applicable.)</t>
  </si>
  <si>
    <t>Enter any annual costs here that are not captured in the above cost categories.</t>
  </si>
  <si>
    <t>Enter any costs here that are not captured in the above cost categories. (Enter '0' if not applicable.)</t>
  </si>
  <si>
    <t>TEMPLATE</t>
  </si>
  <si>
    <t>Assessment and planning</t>
  </si>
  <si>
    <t>Policies and documentation</t>
  </si>
  <si>
    <t>Identification, authentication, and access control</t>
  </si>
  <si>
    <t>Software safeguards</t>
  </si>
  <si>
    <t>Data backup and recovery</t>
  </si>
  <si>
    <t>Incident response</t>
  </si>
  <si>
    <t>System monitoring</t>
  </si>
  <si>
    <t>Physical security</t>
  </si>
  <si>
    <t>Device management and disposal</t>
  </si>
  <si>
    <t>Audits and testing</t>
  </si>
  <si>
    <t>Specific elements or activities to consider include: 
•  ADD ELEMENTS</t>
  </si>
  <si>
    <t>Configuration and updates</t>
  </si>
  <si>
    <t>Network and transmission</t>
  </si>
  <si>
    <t>Training and professional development</t>
  </si>
  <si>
    <r>
      <t xml:space="preserve">Specific elements or activities to consider include: 
•  </t>
    </r>
    <r>
      <rPr>
        <b/>
        <i/>
        <sz val="11"/>
        <color theme="1"/>
        <rFont val="Calibri"/>
        <family val="2"/>
        <scheme val="minor"/>
      </rPr>
      <t>Policies and procedures:</t>
    </r>
    <r>
      <rPr>
        <i/>
        <sz val="11"/>
        <color theme="1"/>
        <rFont val="Calibri"/>
        <family val="2"/>
        <scheme val="minor"/>
      </rPr>
      <t xml:space="preserve"> Develop, update, and maintain cybersecurity policies and procedures—including a sanction policy—and make the policies and procedures easily accessible. These should be reviewed regularly to ensure they remain effective and relevant.
</t>
    </r>
    <r>
      <rPr>
        <b/>
        <i/>
        <sz val="11"/>
        <color theme="1"/>
        <rFont val="Calibri"/>
        <family val="2"/>
        <scheme val="minor"/>
      </rPr>
      <t xml:space="preserve">•  Use and confidentiality agreement: </t>
    </r>
    <r>
      <rPr>
        <i/>
        <sz val="11"/>
        <color theme="1"/>
        <rFont val="Calibri"/>
        <family val="2"/>
        <scheme val="minor"/>
      </rPr>
      <t xml:space="preserve">Draft, coordinate, manage, and enforce use and confidentiality agreements. These agreements should clearly outline the responsibilities of all parties involved in handling data, outline procedures for data destruction, and include stipulations for secondary analysis. .
</t>
    </r>
    <r>
      <rPr>
        <b/>
        <i/>
        <sz val="11"/>
        <color theme="1"/>
        <rFont val="Calibri"/>
        <family val="2"/>
        <scheme val="minor"/>
      </rPr>
      <t>•  Documentation:</t>
    </r>
    <r>
      <rPr>
        <i/>
        <sz val="11"/>
        <color theme="1"/>
        <rFont val="Calibri"/>
        <family val="2"/>
        <scheme val="minor"/>
      </rPr>
      <t xml:space="preserve"> Regularly update documentation, including required actions, reporting, regulatory compliance, and meeting standards/certifications; and ensure documentation is easily accessible to users and clients, including through sent communications.
In addition to costs specific to the implementation of this tool, consider what policies and documentation are in place within the broader digital environment. Determine any costs for updates to these that are attributable to this implementation.</t>
    </r>
  </si>
  <si>
    <r>
      <t xml:space="preserve">Specific elements or activities to consider include: 
•  </t>
    </r>
    <r>
      <rPr>
        <b/>
        <i/>
        <sz val="11"/>
        <color theme="1"/>
        <rFont val="Calibri"/>
        <family val="2"/>
        <scheme val="minor"/>
      </rPr>
      <t>Implement mechanisms and procedures for regular data backups and disaster recovery procedures.</t>
    </r>
    <r>
      <rPr>
        <i/>
        <sz val="11"/>
        <color theme="1"/>
        <rFont val="Calibri"/>
        <family val="2"/>
        <scheme val="minor"/>
      </rPr>
      <t xml:space="preserve"> This includes features like automated backups, off-site storage options, and the ability to restore data in case of system failures or breaches.
In addition to costs specific to the implementation of this tool, consider what data backup and recovery procedures are in place within the broader digital environment. Determine any costs for updates to these that are attributable to this implementation.</t>
    </r>
  </si>
  <si>
    <r>
      <t xml:space="preserve">Specific elements or activities to consider include: 
•  </t>
    </r>
    <r>
      <rPr>
        <b/>
        <i/>
        <sz val="11"/>
        <color theme="1"/>
        <rFont val="Calibri"/>
        <family val="2"/>
        <scheme val="minor"/>
      </rPr>
      <t>Workstation use:</t>
    </r>
    <r>
      <rPr>
        <i/>
        <sz val="11"/>
        <color theme="1"/>
        <rFont val="Calibri"/>
        <family val="2"/>
        <scheme val="minor"/>
      </rPr>
      <t xml:space="preserve"> Ensure secure use of workstations, including configuration and usage policies. This helps in preventing unauthorized access and misuse of workstations.
•  </t>
    </r>
    <r>
      <rPr>
        <b/>
        <i/>
        <sz val="11"/>
        <color theme="1"/>
        <rFont val="Calibri"/>
        <family val="2"/>
        <scheme val="minor"/>
      </rPr>
      <t>Workstation security:</t>
    </r>
    <r>
      <rPr>
        <i/>
        <sz val="11"/>
        <color theme="1"/>
        <rFont val="Calibri"/>
        <family val="2"/>
        <scheme val="minor"/>
      </rPr>
      <t xml:space="preserve"> Secure workstations against physical and cyber threats. This includes implementing physical security measures (such as locks) and technical controls (such as screen locks and password protection).
•  </t>
    </r>
    <r>
      <rPr>
        <b/>
        <i/>
        <sz val="11"/>
        <color theme="1"/>
        <rFont val="Calibri"/>
        <family val="2"/>
        <scheme val="minor"/>
      </rPr>
      <t xml:space="preserve">Facility access control: </t>
    </r>
    <r>
      <rPr>
        <i/>
        <sz val="11"/>
        <color theme="1"/>
        <rFont val="Calibri"/>
        <family val="2"/>
        <scheme val="minor"/>
      </rPr>
      <t xml:space="preserve">Implement physical safeguards (e.g., lock, key, badge) if data is hosted on premise. Establish access control and validation procedures.
• </t>
    </r>
    <r>
      <rPr>
        <b/>
        <i/>
        <sz val="11"/>
        <color theme="1"/>
        <rFont val="Calibri"/>
        <family val="2"/>
        <scheme val="minor"/>
      </rPr>
      <t xml:space="preserve"> Facility security plan:</t>
    </r>
    <r>
      <rPr>
        <i/>
        <sz val="11"/>
        <color theme="1"/>
        <rFont val="Calibri"/>
        <family val="2"/>
        <scheme val="minor"/>
      </rPr>
      <t xml:space="preserve"> Develop and maintain a facility security plan. This plan should outline the physical security measures in place to protect the facility and the data within it.
• </t>
    </r>
    <r>
      <rPr>
        <b/>
        <i/>
        <sz val="11"/>
        <color theme="1"/>
        <rFont val="Calibri"/>
        <family val="2"/>
        <scheme val="minor"/>
      </rPr>
      <t xml:space="preserve"> Physical security assessment: </t>
    </r>
    <r>
      <rPr>
        <i/>
        <sz val="11"/>
        <color theme="1"/>
        <rFont val="Calibri"/>
        <family val="2"/>
        <scheme val="minor"/>
      </rPr>
      <t xml:space="preserve">Conduct physical security assessments to identify potential vulnerabilities. This includes reviewing the facility’s security measures and identifying areas for improvement.
• </t>
    </r>
    <r>
      <rPr>
        <b/>
        <i/>
        <sz val="11"/>
        <color theme="1"/>
        <rFont val="Calibri"/>
        <family val="2"/>
        <scheme val="minor"/>
      </rPr>
      <t xml:space="preserve"> Maintenance records:</t>
    </r>
    <r>
      <rPr>
        <i/>
        <sz val="11"/>
        <color theme="1"/>
        <rFont val="Calibri"/>
        <family val="2"/>
        <scheme val="minor"/>
      </rPr>
      <t xml:space="preserve"> Keep records of maintenance related to physical security measures. This helps in ensuring that security measures remain effective and are updated as necessary.
•  </t>
    </r>
    <r>
      <rPr>
        <b/>
        <i/>
        <sz val="11"/>
        <color theme="1"/>
        <rFont val="Calibri"/>
        <family val="2"/>
        <scheme val="minor"/>
      </rPr>
      <t>Contingency operations:</t>
    </r>
    <r>
      <rPr>
        <i/>
        <sz val="11"/>
        <color theme="1"/>
        <rFont val="Calibri"/>
        <family val="2"/>
        <scheme val="minor"/>
      </rPr>
      <t xml:space="preserve"> Implement physical security measures that support contingency operations. This includes planning for emergencies and disasters.
In addition to costs specific to the implementation of this tool, consider what physical security is in place within the broader digital environment. Determine any costs for updates to these that are attributable to this implementation. As workstations are likely to be used for multiple digital tools, consider how to appropriately allocate costs if physical security costs are not completely included in an existing budget.</t>
    </r>
  </si>
  <si>
    <r>
      <t xml:space="preserve">Specific elements or activities to consider include: 
•  </t>
    </r>
    <r>
      <rPr>
        <b/>
        <i/>
        <sz val="11"/>
        <color theme="1"/>
        <rFont val="Calibri"/>
        <family val="2"/>
        <scheme val="minor"/>
      </rPr>
      <t>Device accountability:</t>
    </r>
    <r>
      <rPr>
        <i/>
        <sz val="11"/>
        <color theme="1"/>
        <rFont val="Calibri"/>
        <family val="2"/>
        <scheme val="minor"/>
      </rPr>
      <t xml:space="preserve"> Track and manage device and media usage. This includes maintaining an inventory of devices and monitoring
•  </t>
    </r>
    <r>
      <rPr>
        <b/>
        <i/>
        <sz val="11"/>
        <color theme="1"/>
        <rFont val="Calibri"/>
        <family val="2"/>
        <scheme val="minor"/>
      </rPr>
      <t xml:space="preserve">Secure disposal: </t>
    </r>
    <r>
      <rPr>
        <i/>
        <sz val="11"/>
        <color theme="1"/>
        <rFont val="Calibri"/>
        <family val="2"/>
        <scheme val="minor"/>
      </rPr>
      <t>Safely dispose of devices and media. This includes securely erasing data before disposal and physically destroying devices if necessary.
In addition to costs specific to the implementation of this tool, consider what device management and disposal procedures are in place within the broader digital environment. Determine any costs for updates to these that are attributable to this implementation.</t>
    </r>
  </si>
  <si>
    <r>
      <t xml:space="preserve">Specific elements or activities to consider include: 
</t>
    </r>
    <r>
      <rPr>
        <b/>
        <i/>
        <sz val="11"/>
        <color theme="1"/>
        <rFont val="Calibri"/>
        <family val="2"/>
        <scheme val="minor"/>
      </rPr>
      <t>•  Internal and external audits:</t>
    </r>
    <r>
      <rPr>
        <i/>
        <sz val="11"/>
        <color theme="1"/>
        <rFont val="Calibri"/>
        <family val="2"/>
        <scheme val="minor"/>
      </rPr>
      <t xml:space="preserve"> Conduct internal audits to assess the effectiveness of security measures and external audits for an unbiased assessment of the security posture, and report findings. This includes compliance auditing to ensure adherence to relevant regulations and standards.
</t>
    </r>
    <r>
      <rPr>
        <b/>
        <i/>
        <sz val="11"/>
        <color theme="1"/>
        <rFont val="Calibri"/>
        <family val="2"/>
        <scheme val="minor"/>
      </rPr>
      <t>•  Penetration testing:</t>
    </r>
    <r>
      <rPr>
        <i/>
        <sz val="11"/>
        <color theme="1"/>
        <rFont val="Calibri"/>
        <family val="2"/>
        <scheme val="minor"/>
      </rPr>
      <t xml:space="preserve"> Simulate real-world attacks on the software to identify vulnerabilities that could be exploited by malicious actors. This testing is typically performed by skilled professionals who attempt to exploit weaknesses in the system’s defenses to gain unauthorized access or compromise data.
In addition to costs specific to the implementation of this tool, consider what audit and testing procedures are in place within the broader digital environment. Determine any costs for updates to these that are attributable to this implementation.</t>
    </r>
  </si>
  <si>
    <r>
      <t xml:space="preserve">Specific elements or activities to consider include: 
•  </t>
    </r>
    <r>
      <rPr>
        <b/>
        <i/>
        <sz val="11"/>
        <color theme="1"/>
        <rFont val="Calibri"/>
        <family val="2"/>
        <scheme val="minor"/>
      </rPr>
      <t xml:space="preserve">Transmission security: </t>
    </r>
    <r>
      <rPr>
        <i/>
        <sz val="11"/>
        <color theme="1"/>
        <rFont val="Calibri"/>
        <family val="2"/>
        <scheme val="minor"/>
      </rPr>
      <t xml:space="preserve">Implement measures to ensure the security of data during transmission. This includes using secure protocols (such as HTTPS and SFTP), encrypting data in transit, and monitoring network traffic for anomalies.
•  </t>
    </r>
    <r>
      <rPr>
        <b/>
        <i/>
        <sz val="11"/>
        <color theme="1"/>
        <rFont val="Calibri"/>
        <family val="2"/>
        <scheme val="minor"/>
      </rPr>
      <t xml:space="preserve">Network protection: </t>
    </r>
    <r>
      <rPr>
        <i/>
        <sz val="11"/>
        <color theme="1"/>
        <rFont val="Calibri"/>
        <family val="2"/>
        <scheme val="minor"/>
      </rPr>
      <t xml:space="preserve">Use firewalls, intrusion detection systems (IDS), and intrusion prevention systems (IPS) to protect the network from cyber threats. This includes configuring firewall rules, monitoring network traffic, and responding to security alerts.
•  </t>
    </r>
    <r>
      <rPr>
        <b/>
        <i/>
        <sz val="11"/>
        <color theme="1"/>
        <rFont val="Calibri"/>
        <family val="2"/>
        <scheme val="minor"/>
      </rPr>
      <t xml:space="preserve">Wireless security: </t>
    </r>
    <r>
      <rPr>
        <i/>
        <sz val="11"/>
        <color theme="1"/>
        <rFont val="Calibri"/>
        <family val="2"/>
        <scheme val="minor"/>
      </rPr>
      <t xml:space="preserve">Secure wireless networks. This includes using strong encryption (such as WPA2 or WPA3), disabling SSID broadcasting, and changing default passwords.
•  </t>
    </r>
    <r>
      <rPr>
        <b/>
        <i/>
        <sz val="11"/>
        <color theme="1"/>
        <rFont val="Calibri"/>
        <family val="2"/>
        <scheme val="minor"/>
      </rPr>
      <t>Network access control:</t>
    </r>
    <r>
      <rPr>
        <i/>
        <sz val="11"/>
        <color theme="1"/>
        <rFont val="Calibri"/>
        <family val="2"/>
        <scheme val="minor"/>
      </rPr>
      <t xml:space="preserve"> Implement network access control (NAC) to restrict access to the network. This includes authenticating and authorizing devices before they can connect to the network.
•  </t>
    </r>
    <r>
      <rPr>
        <b/>
        <i/>
        <sz val="11"/>
        <color theme="1"/>
        <rFont val="Calibri"/>
        <family val="2"/>
        <scheme val="minor"/>
      </rPr>
      <t>Remote access:</t>
    </r>
    <r>
      <rPr>
        <i/>
        <sz val="11"/>
        <color theme="1"/>
        <rFont val="Calibri"/>
        <family val="2"/>
        <scheme val="minor"/>
      </rPr>
      <t xml:space="preserve"> Implement secure remote access solutions. This includes using secure protocols (such as VPNs) and enforcing strong authentication methods.
In addition to costs specific to the implementation of this tool, consider what network and transmission controls are in place within the broader digital environment. Determine any costs for updates to these that are attributable to this implementation.</t>
    </r>
  </si>
  <si>
    <t>Enter the type of end-user training being used. (Select from dropdown)</t>
  </si>
  <si>
    <t>Enter the total cost of developing material for training.</t>
  </si>
  <si>
    <t>Enter number of days per training session required.</t>
  </si>
  <si>
    <t>Enter number of users requiring training.</t>
  </si>
  <si>
    <t>Enter per diem cost for each trainee.</t>
  </si>
  <si>
    <t>Enter number of participants that can be trained in one classroom-based training session.</t>
  </si>
  <si>
    <t>Enter number of trainers per classroom-based training session, if applicable.</t>
  </si>
  <si>
    <t>Enter average daily rate for each trainer per classroom-based training, if applicable.</t>
  </si>
  <si>
    <t>Enter per diem cost for each trainer, if applicable.</t>
  </si>
  <si>
    <t>Enter any other training costs per day.</t>
  </si>
  <si>
    <t>20 - 25</t>
  </si>
  <si>
    <t>Refresher training</t>
  </si>
  <si>
    <t>Initial training</t>
  </si>
  <si>
    <t>Enter the type of end-user training being used. (Select from dropdown.)</t>
  </si>
  <si>
    <t>Enter number of days per refresher training session per year.</t>
  </si>
  <si>
    <t>Enter number of users participating in refresher training per year.</t>
  </si>
  <si>
    <t>Enter the annual cost of developing or updating the refresher training. (Enter '0' if not applicable.)</t>
  </si>
  <si>
    <t>User guide</t>
  </si>
  <si>
    <t>Scope of implementation</t>
  </si>
  <si>
    <t>Cost summary</t>
  </si>
  <si>
    <t>Budget commitment and gaps</t>
  </si>
  <si>
    <t xml:space="preserve">
In addition to costs specific to the implementation of this tool, consider what assessment and planning procedures take place within the broader digital environment. Determine any costs for updates to these that are attributable to this implementation.</t>
  </si>
  <si>
    <t>Cybersecurity (one-time costs for 'Development' and 'Deployment')*</t>
  </si>
  <si>
    <t>Cybersecurity (recurring costs)*</t>
  </si>
  <si>
    <t>*Equipment for cybersecurity is incorporated into 'Deployment' and 'Operations' costs.</t>
  </si>
  <si>
    <t>Enter annual replacement rate for tablets/mobile devices</t>
  </si>
  <si>
    <r>
      <t xml:space="preserve">Specific elements or activities to consider include: 
•  </t>
    </r>
    <r>
      <rPr>
        <b/>
        <i/>
        <sz val="11"/>
        <color theme="1"/>
        <rFont val="Calibri"/>
        <family val="2"/>
        <scheme val="minor"/>
      </rPr>
      <t>Cybersecurity and data privacy training:</t>
    </r>
    <r>
      <rPr>
        <i/>
        <sz val="11"/>
        <color theme="1"/>
        <rFont val="Calibri"/>
        <family val="2"/>
        <scheme val="minor"/>
      </rPr>
      <t xml:space="preserve"> Provide regular training to staff and suppliers on cybersecurity and data privacy  practices. This includes training on recognizing and responding to potential threats, secure password practices, and safe internet use.
•  </t>
    </r>
    <r>
      <rPr>
        <b/>
        <i/>
        <sz val="11"/>
        <color theme="1"/>
        <rFont val="Calibri"/>
        <family val="2"/>
        <scheme val="minor"/>
      </rPr>
      <t>Personal development:</t>
    </r>
    <r>
      <rPr>
        <i/>
        <sz val="11"/>
        <color theme="1"/>
        <rFont val="Calibri"/>
        <family val="2"/>
        <scheme val="minor"/>
      </rPr>
      <t xml:space="preserve"> Encourage continuous learning and development in the field of cybersecurity—especially for cybersecurity personnel. This could include providing resources for self-study, sponsoring certifications, attending conferences, or organizing workshops and seminars.
•  </t>
    </r>
    <r>
      <rPr>
        <b/>
        <i/>
        <sz val="11"/>
        <color theme="1"/>
        <rFont val="Calibri"/>
        <family val="2"/>
        <scheme val="minor"/>
      </rPr>
      <t xml:space="preserve">Conduct drills: </t>
    </r>
    <r>
      <rPr>
        <i/>
        <sz val="11"/>
        <color theme="1"/>
        <rFont val="Calibri"/>
        <family val="2"/>
        <scheme val="minor"/>
      </rPr>
      <t>Conduct regular tests to ensure responsible staff have ability to respond quickly, and maintain good cybersecurity hygiene.</t>
    </r>
  </si>
  <si>
    <r>
      <t xml:space="preserve">Specific elements or activities to consider include: 
•  </t>
    </r>
    <r>
      <rPr>
        <b/>
        <i/>
        <sz val="11"/>
        <color theme="1"/>
        <rFont val="Calibri"/>
        <family val="2"/>
        <scheme val="minor"/>
      </rPr>
      <t>Data security and privacy oversight:</t>
    </r>
    <r>
      <rPr>
        <i/>
        <sz val="11"/>
        <color theme="1"/>
        <rFont val="Calibri"/>
        <family val="2"/>
        <scheme val="minor"/>
      </rPr>
      <t xml:space="preserve"> Assign personnel responsible for cybersecurity and data privacy oversight. This ensures accountability and clear lines of responsibility.
•  </t>
    </r>
    <r>
      <rPr>
        <b/>
        <i/>
        <sz val="11"/>
        <color theme="1"/>
        <rFont val="Calibri"/>
        <family val="2"/>
        <scheme val="minor"/>
      </rPr>
      <t>Implement and manage a security operations center:</t>
    </r>
    <r>
      <rPr>
        <i/>
        <sz val="11"/>
        <color theme="1"/>
        <rFont val="Calibri"/>
        <family val="2"/>
        <scheme val="minor"/>
      </rPr>
      <t xml:space="preserve"> Establish an organizational unit responsible for monitoring, detecting, responding to, and mitigating security threats.
•  </t>
    </r>
    <r>
      <rPr>
        <b/>
        <i/>
        <sz val="11"/>
        <color theme="1"/>
        <rFont val="Calibri"/>
        <family val="2"/>
        <scheme val="minor"/>
      </rPr>
      <t>Audit logs and monitoring:</t>
    </r>
    <r>
      <rPr>
        <i/>
        <sz val="11"/>
        <color theme="1"/>
        <rFont val="Calibri"/>
        <family val="2"/>
        <scheme val="minor"/>
      </rPr>
      <t xml:space="preserve"> Implement features that provide detailed audit logs and monitoring capabilities. This includes tracking user activities (e.g., logins), system changes, and security events. This helps in detecting and investigating security incidents.
•  </t>
    </r>
    <r>
      <rPr>
        <b/>
        <i/>
        <sz val="11"/>
        <color theme="1"/>
        <rFont val="Calibri"/>
        <family val="2"/>
        <scheme val="minor"/>
      </rPr>
      <t>Information system activity review:</t>
    </r>
    <r>
      <rPr>
        <i/>
        <sz val="11"/>
        <color theme="1"/>
        <rFont val="Calibri"/>
        <family val="2"/>
        <scheme val="minor"/>
      </rPr>
      <t xml:space="preserve"> Continuously monitor and review system activities for security incidents. This includes monitoring system logs, network traffic, and user activities.
•  </t>
    </r>
    <r>
      <rPr>
        <b/>
        <i/>
        <sz val="11"/>
        <color theme="1"/>
        <rFont val="Calibri"/>
        <family val="2"/>
        <scheme val="minor"/>
      </rPr>
      <t xml:space="preserve">SIEM: </t>
    </r>
    <r>
      <rPr>
        <i/>
        <sz val="11"/>
        <color theme="1"/>
        <rFont val="Calibri"/>
        <family val="2"/>
        <scheme val="minor"/>
      </rPr>
      <t xml:space="preserve">Implement Security Information and Event Management (SIEM) systems for real-time analysis of security alerts. This helps in detecting and responding to security incidents in a timely manner.
•  </t>
    </r>
    <r>
      <rPr>
        <b/>
        <i/>
        <sz val="11"/>
        <color theme="1"/>
        <rFont val="Calibri"/>
        <family val="2"/>
        <scheme val="minor"/>
      </rPr>
      <t>Fraud protection:</t>
    </r>
    <r>
      <rPr>
        <i/>
        <sz val="11"/>
        <color theme="1"/>
        <rFont val="Calibri"/>
        <family val="2"/>
        <scheme val="minor"/>
      </rPr>
      <t xml:space="preserve"> Implement measures to detect and prevent fraudulent activities. This includes monitoring for unusual activities or transactions that could indicate fraud.
In addition to costs specific to the implementation of this tool, consider what system monitoring procedures are in place within the broader digital environment. Determine any costs for updates to these that are attributable to this implementation.</t>
    </r>
  </si>
  <si>
    <t>Has assessment and plannning already been completed? (Select 'Yes' or 'No')</t>
  </si>
  <si>
    <t>Have policies and documentation already been developed? (Select 'Yes' or 'No')</t>
  </si>
  <si>
    <t>Have identification, authentication, and access control procedures already been developed and put in place? (Select 'Yes' or 'No')</t>
  </si>
  <si>
    <t>Have software safeguards already been developed and put in place? (Select 'Yes' or 'No')</t>
  </si>
  <si>
    <t>Have data backup and recovery procedures already been developed and put in place? (Select 'Yes' or 'No')</t>
  </si>
  <si>
    <t>Have incident response procedures already been developed and put in place? (Select 'Yes' or 'No')</t>
  </si>
  <si>
    <t>Have system monitoring procedures already been developed and put in place? (Select 'Yes' or 'No')</t>
  </si>
  <si>
    <t>Has physical security already been put in place? (Select 'Yes' or 'No')</t>
  </si>
  <si>
    <t>Have device management and disposal procedures already been developed and put in place? (Select 'Yes' or 'No')</t>
  </si>
  <si>
    <t>Have audits and testing already been completed? (Select 'Yes' or 'No')</t>
  </si>
  <si>
    <t>Have configuration and updates already been completed? (Select 'Yes' or 'No')</t>
  </si>
  <si>
    <t>Have network and transmission procedures already been developed and put in place? (Select 'Yes' or 'No')</t>
  </si>
  <si>
    <t>Have training and professional development already been completed? (Select 'Yes' or 'No')</t>
  </si>
  <si>
    <t>For each section, consider not only the costs related to the implementation of this tool, but also the costs related to the broader digital environment. If the implementation requires changes to policies, procedures, activities, etc. for the broader digital environment, consider which costs are attributable to this implementation. All costs should be included, unless the costs would be incurred even if this implementation did not take place.
While the cost of hosting is considered on other tabs, the choice of hosting (e.g., on premises or in the cloud) will impact appropriate security measures. These include factors such as physical security, network security, and regulatory compliance.</t>
  </si>
  <si>
    <t>Potential personnel</t>
  </si>
  <si>
    <t>Chief Information Security Officer (CISO)</t>
  </si>
  <si>
    <t>Cybersecurity Engineer</t>
  </si>
  <si>
    <t>Cybersecurity Analyst</t>
  </si>
  <si>
    <t>Cybersecurity Associate</t>
  </si>
  <si>
    <t>Cybersecurity Responder</t>
  </si>
  <si>
    <t>Cybersecurity Incident Handler</t>
  </si>
  <si>
    <t>Security Operations Center (SOC) Manager</t>
  </si>
  <si>
    <t>Security Director</t>
  </si>
  <si>
    <t>Security Operations Lead SecOps Lead</t>
  </si>
  <si>
    <t>SOC Architect</t>
  </si>
  <si>
    <t>Security Information and Event Management (SIEM) Engineer</t>
  </si>
  <si>
    <t>SOC Engineer</t>
  </si>
  <si>
    <t>Cybersecurity Consultant</t>
  </si>
  <si>
    <t>Enter one-time contracted services costs. (Enter '0' if not applicable.)</t>
  </si>
  <si>
    <r>
      <t xml:space="preserve">Specific elements or activities to consider include: 
</t>
    </r>
    <r>
      <rPr>
        <i/>
        <u/>
        <sz val="11"/>
        <color theme="1"/>
        <rFont val="Calibri"/>
        <family val="2"/>
        <scheme val="minor"/>
      </rPr>
      <t>Needs assessment</t>
    </r>
    <r>
      <rPr>
        <i/>
        <sz val="11"/>
        <color theme="1"/>
        <rFont val="Calibri"/>
        <family val="2"/>
        <scheme val="minor"/>
      </rPr>
      <t xml:space="preserve">
•  </t>
    </r>
    <r>
      <rPr>
        <b/>
        <i/>
        <sz val="11"/>
        <color theme="1"/>
        <rFont val="Calibri"/>
        <family val="2"/>
        <scheme val="minor"/>
      </rPr>
      <t>Landscape assessment:</t>
    </r>
    <r>
      <rPr>
        <i/>
        <sz val="11"/>
        <color theme="1"/>
        <rFont val="Calibri"/>
        <family val="2"/>
        <scheme val="minor"/>
      </rPr>
      <t xml:space="preserve"> Develop holistic mapping of all the systems, components, and assets that need to be protected to ensure there is a full understanding of the entire attack surface. 
• </t>
    </r>
    <r>
      <rPr>
        <b/>
        <i/>
        <sz val="11"/>
        <color theme="1"/>
        <rFont val="Calibri"/>
        <family val="2"/>
        <scheme val="minor"/>
      </rPr>
      <t xml:space="preserve"> Sensitivity assessment:</t>
    </r>
    <r>
      <rPr>
        <i/>
        <sz val="11"/>
        <color theme="1"/>
        <rFont val="Calibri"/>
        <family val="2"/>
        <scheme val="minor"/>
      </rPr>
      <t xml:space="preserve"> Evaluate the sensitivity of data (e.g., personal information, financial data, and confidential business information). Determine the need for confidentiality, security, and availability.
</t>
    </r>
    <r>
      <rPr>
        <i/>
        <u/>
        <sz val="11"/>
        <color theme="1"/>
        <rFont val="Calibri"/>
        <family val="2"/>
        <scheme val="minor"/>
      </rPr>
      <t xml:space="preserve">Specifications
</t>
    </r>
    <r>
      <rPr>
        <i/>
        <sz val="11"/>
        <color theme="1"/>
        <rFont val="Calibri"/>
        <family val="2"/>
        <scheme val="minor"/>
      </rPr>
      <t xml:space="preserve">• </t>
    </r>
    <r>
      <rPr>
        <b/>
        <i/>
        <sz val="11"/>
        <color theme="1"/>
        <rFont val="Calibri"/>
        <family val="2"/>
        <scheme val="minor"/>
      </rPr>
      <t xml:space="preserve"> Regulatory compliance assessment:</t>
    </r>
    <r>
      <rPr>
        <i/>
        <sz val="11"/>
        <color theme="1"/>
        <rFont val="Calibri"/>
        <family val="2"/>
        <scheme val="minor"/>
      </rPr>
      <t xml:space="preserve"> Determine the need to comply with local relevant data protection regulations.
</t>
    </r>
    <r>
      <rPr>
        <i/>
        <u/>
        <sz val="11"/>
        <color theme="1"/>
        <rFont val="Calibri"/>
        <family val="2"/>
        <scheme val="minor"/>
      </rPr>
      <t>Design</t>
    </r>
    <r>
      <rPr>
        <i/>
        <sz val="11"/>
        <color theme="1"/>
        <rFont val="Calibri"/>
        <family val="2"/>
        <scheme val="minor"/>
      </rPr>
      <t xml:space="preserve">
•  </t>
    </r>
    <r>
      <rPr>
        <b/>
        <i/>
        <sz val="11"/>
        <color theme="1"/>
        <rFont val="Calibri"/>
        <family val="2"/>
        <scheme val="minor"/>
      </rPr>
      <t>Security architecture and privacy design:</t>
    </r>
    <r>
      <rPr>
        <i/>
        <sz val="11"/>
        <color theme="1"/>
        <rFont val="Calibri"/>
        <family val="2"/>
        <scheme val="minor"/>
      </rPr>
      <t xml:space="preserve"> Design a robust security architecture that can withstand potential cyber threats, and includes privacy by design.
•  </t>
    </r>
    <r>
      <rPr>
        <b/>
        <i/>
        <sz val="11"/>
        <color theme="1"/>
        <rFont val="Calibri"/>
        <family val="2"/>
        <scheme val="minor"/>
      </rPr>
      <t>Applications and data criticality analysis:</t>
    </r>
    <r>
      <rPr>
        <i/>
        <sz val="11"/>
        <color theme="1"/>
        <rFont val="Calibri"/>
        <family val="2"/>
        <scheme val="minor"/>
      </rPr>
      <t xml:space="preserve"> Analyze risk and prioritize critical applications and data. This helps in focusing security efforts where they are most needed.
•  </t>
    </r>
    <r>
      <rPr>
        <b/>
        <i/>
        <sz val="11"/>
        <color theme="1"/>
        <rFont val="Calibri"/>
        <family val="2"/>
        <scheme val="minor"/>
      </rPr>
      <t>Supply chain assessment:</t>
    </r>
    <r>
      <rPr>
        <i/>
        <sz val="11"/>
        <color theme="1"/>
        <rFont val="Calibri"/>
        <family val="2"/>
        <scheme val="minor"/>
      </rPr>
      <t xml:space="preserve"> Understand the end-to-end processes and third-party suppliers that are involved with technical development and service delivery (i.e., the software bill of materials).
</t>
    </r>
    <r>
      <rPr>
        <i/>
        <u/>
        <sz val="11"/>
        <color theme="1"/>
        <rFont val="Calibri"/>
        <family val="2"/>
        <scheme val="minor"/>
      </rPr>
      <t>Testing</t>
    </r>
    <r>
      <rPr>
        <i/>
        <sz val="11"/>
        <color theme="1"/>
        <rFont val="Calibri"/>
        <family val="2"/>
        <scheme val="minor"/>
      </rPr>
      <t xml:space="preserve">
</t>
    </r>
    <r>
      <rPr>
        <b/>
        <i/>
        <sz val="11"/>
        <color theme="1"/>
        <rFont val="Calibri"/>
        <family val="2"/>
        <scheme val="minor"/>
      </rPr>
      <t>•  Code assessment:</t>
    </r>
    <r>
      <rPr>
        <i/>
        <sz val="11"/>
        <color theme="1"/>
        <rFont val="Calibri"/>
        <family val="2"/>
        <scheme val="minor"/>
      </rPr>
      <t xml:space="preserve"> Perform code assessments to identify potential security issues in the software codebase.
</t>
    </r>
    <r>
      <rPr>
        <i/>
        <u/>
        <sz val="11"/>
        <color theme="1"/>
        <rFont val="Calibri"/>
        <family val="2"/>
        <scheme val="minor"/>
      </rPr>
      <t>Validation</t>
    </r>
    <r>
      <rPr>
        <i/>
        <sz val="11"/>
        <color theme="1"/>
        <rFont val="Calibri"/>
        <family val="2"/>
        <scheme val="minor"/>
      </rPr>
      <t xml:space="preserve">
• </t>
    </r>
    <r>
      <rPr>
        <b/>
        <i/>
        <sz val="11"/>
        <color theme="1"/>
        <rFont val="Calibri"/>
        <family val="2"/>
        <scheme val="minor"/>
      </rPr>
      <t xml:space="preserve"> Data security assessment:</t>
    </r>
    <r>
      <rPr>
        <i/>
        <sz val="11"/>
        <color theme="1"/>
        <rFont val="Calibri"/>
        <family val="2"/>
        <scheme val="minor"/>
      </rPr>
      <t xml:space="preserve"> Evaluate the overall security posture of the digital tool by reviewing the software’s architecture, design, and implementation. This includes analyzing system configurations, network architectures, access controls, encryption mechanisms, authentication processes, and other security measures.</t>
    </r>
  </si>
  <si>
    <r>
      <t xml:space="preserve">Specific elements or activities to consider include: 
</t>
    </r>
    <r>
      <rPr>
        <i/>
        <u/>
        <sz val="11"/>
        <color theme="1"/>
        <rFont val="Calibri"/>
        <family val="2"/>
        <scheme val="minor"/>
      </rPr>
      <t>Development</t>
    </r>
    <r>
      <rPr>
        <i/>
        <sz val="11"/>
        <color theme="1"/>
        <rFont val="Calibri"/>
        <family val="2"/>
        <scheme val="minor"/>
      </rPr>
      <t xml:space="preserve">
•  </t>
    </r>
    <r>
      <rPr>
        <b/>
        <i/>
        <sz val="11"/>
        <color theme="1"/>
        <rFont val="Calibri"/>
        <family val="2"/>
        <scheme val="minor"/>
      </rPr>
      <t>Person / entity authentication:</t>
    </r>
    <r>
      <rPr>
        <i/>
        <sz val="11"/>
        <color theme="1"/>
        <rFont val="Calibri"/>
        <family val="2"/>
        <scheme val="minor"/>
      </rPr>
      <t xml:space="preserve"> Implement authentication systems to verify the identity of users and entities. This could include methods such as passwords, biometrics, two-factor authentication,  and / or digital certificates.
•  </t>
    </r>
    <r>
      <rPr>
        <b/>
        <i/>
        <sz val="11"/>
        <color theme="1"/>
        <rFont val="Calibri"/>
        <family val="2"/>
        <scheme val="minor"/>
      </rPr>
      <t>Password management:</t>
    </r>
    <r>
      <rPr>
        <i/>
        <sz val="11"/>
        <color theme="1"/>
        <rFont val="Calibri"/>
        <family val="2"/>
        <scheme val="minor"/>
      </rPr>
      <t xml:space="preserve"> Implement password management tools and training. This includes enforcing strong password policies and educating users about secure password practices.
•  </t>
    </r>
    <r>
      <rPr>
        <b/>
        <i/>
        <sz val="11"/>
        <color theme="1"/>
        <rFont val="Calibri"/>
        <family val="2"/>
        <scheme val="minor"/>
      </rPr>
      <t>Access controls:</t>
    </r>
    <r>
      <rPr>
        <i/>
        <sz val="11"/>
        <color theme="1"/>
        <rFont val="Calibri"/>
        <family val="2"/>
        <scheme val="minor"/>
      </rPr>
      <t xml:space="preserve"> Develop and implement access control features, such as account management, role-based access, and privileges. This includes granting, modifying, and revoking access rights as necessary and helps in preventing unauthorized access to systems and data. Access controls also apply to what other software or programs are able to access within the controlled environment.
•  </t>
    </r>
    <r>
      <rPr>
        <b/>
        <i/>
        <sz val="11"/>
        <color theme="1"/>
        <rFont val="Calibri"/>
        <family val="2"/>
        <scheme val="minor"/>
      </rPr>
      <t>Unauthorized access:</t>
    </r>
    <r>
      <rPr>
        <i/>
        <sz val="11"/>
        <color theme="1"/>
        <rFont val="Calibri"/>
        <family val="2"/>
        <scheme val="minor"/>
      </rPr>
      <t xml:space="preserve"> Securely terminate user accounts when no longer needed, ensure automatic logoff of inactive sessions, and monitor unsuccessful login attempts with a session lock after a certain number of failed attempts.
• </t>
    </r>
    <r>
      <rPr>
        <b/>
        <i/>
        <sz val="11"/>
        <color theme="1"/>
        <rFont val="Calibri"/>
        <family val="2"/>
        <scheme val="minor"/>
      </rPr>
      <t xml:space="preserve"> Emergency access procedures:</t>
    </r>
    <r>
      <rPr>
        <i/>
        <sz val="11"/>
        <color theme="1"/>
        <rFont val="Calibri"/>
        <family val="2"/>
        <scheme val="minor"/>
      </rPr>
      <t xml:space="preserve"> Develop procedures that allow emergency access. This is necessary for situations where immediate access to systems or data is required.
</t>
    </r>
    <r>
      <rPr>
        <i/>
        <u/>
        <sz val="11"/>
        <color theme="1"/>
        <rFont val="Calibri"/>
        <family val="2"/>
        <scheme val="minor"/>
      </rPr>
      <t>Implementation</t>
    </r>
    <r>
      <rPr>
        <i/>
        <sz val="11"/>
        <color theme="1"/>
        <rFont val="Calibri"/>
        <family val="2"/>
        <scheme val="minor"/>
      </rPr>
      <t xml:space="preserve">
•  </t>
    </r>
    <r>
      <rPr>
        <b/>
        <i/>
        <sz val="11"/>
        <color theme="1"/>
        <rFont val="Calibri"/>
        <family val="2"/>
        <scheme val="minor"/>
      </rPr>
      <t>Unique user identification:</t>
    </r>
    <r>
      <rPr>
        <i/>
        <sz val="11"/>
        <color theme="1"/>
        <rFont val="Calibri"/>
        <family val="2"/>
        <scheme val="minor"/>
      </rPr>
      <t xml:space="preserve"> Implement user identification systems. Each user should have a unique identifier (username) that is used for tracking and accountability purposes.
•  </t>
    </r>
    <r>
      <rPr>
        <b/>
        <i/>
        <sz val="11"/>
        <color theme="1"/>
        <rFont val="Calibri"/>
        <family val="2"/>
        <scheme val="minor"/>
      </rPr>
      <t xml:space="preserve">Workforce clearance procedures: </t>
    </r>
    <r>
      <rPr>
        <i/>
        <sz val="11"/>
        <color theme="1"/>
        <rFont val="Calibri"/>
        <family val="2"/>
        <scheme val="minor"/>
      </rPr>
      <t>Conduct background checks and security clearances for employees. This helps in ensuring that only trustworthy individuals have access to sensitive data.
In addition to costs specific to the implementation of this tool, consider what identification and authentication procedures and access controls are in place within the broader digital environment. Determine any costs for updates to these that are attributable to this implementation.</t>
    </r>
  </si>
  <si>
    <r>
      <t xml:space="preserve">Specific elements or activities to consider include: 
</t>
    </r>
    <r>
      <rPr>
        <i/>
        <u/>
        <sz val="11"/>
        <color theme="1"/>
        <rFont val="Calibri"/>
        <family val="2"/>
        <scheme val="minor"/>
      </rPr>
      <t>Specifications</t>
    </r>
    <r>
      <rPr>
        <i/>
        <sz val="11"/>
        <color theme="1"/>
        <rFont val="Calibri"/>
        <family val="2"/>
        <scheme val="minor"/>
      </rPr>
      <t xml:space="preserve">
•  </t>
    </r>
    <r>
      <rPr>
        <b/>
        <i/>
        <sz val="11"/>
        <color theme="1"/>
        <rFont val="Calibri"/>
        <family val="2"/>
        <scheme val="minor"/>
      </rPr>
      <t>Encryption and decryption:</t>
    </r>
    <r>
      <rPr>
        <i/>
        <sz val="11"/>
        <color theme="1"/>
        <rFont val="Calibri"/>
        <family val="2"/>
        <scheme val="minor"/>
      </rPr>
      <t xml:space="preserve"> Implement encryption and decryption tools and processes. This includes encryption protocols for data transmission over networks and encryption of stored data to protect data from unauthorized access.
</t>
    </r>
    <r>
      <rPr>
        <i/>
        <u/>
        <sz val="11"/>
        <color theme="1"/>
        <rFont val="Calibri"/>
        <family val="2"/>
        <scheme val="minor"/>
      </rPr>
      <t>Implementation</t>
    </r>
    <r>
      <rPr>
        <i/>
        <sz val="11"/>
        <color theme="1"/>
        <rFont val="Calibri"/>
        <family val="2"/>
        <scheme val="minor"/>
      </rPr>
      <t xml:space="preserve">
•  </t>
    </r>
    <r>
      <rPr>
        <b/>
        <i/>
        <sz val="11"/>
        <color theme="1"/>
        <rFont val="Calibri"/>
        <family val="2"/>
        <scheme val="minor"/>
      </rPr>
      <t>Protection from malicious software:</t>
    </r>
    <r>
      <rPr>
        <i/>
        <sz val="11"/>
        <color theme="1"/>
        <rFont val="Calibri"/>
        <family val="2"/>
        <scheme val="minor"/>
      </rPr>
      <t xml:space="preserve"> Invest in anti-malware software and related training. This helps in protecting systems and data from viruses, worms, trojans, ransomware, and other types of malicious software. This software should be kept up-to-date to ensure it can detect and remove the latest threats.
•  </t>
    </r>
    <r>
      <rPr>
        <b/>
        <i/>
        <sz val="11"/>
        <color theme="1"/>
        <rFont val="Calibri"/>
        <family val="2"/>
        <scheme val="minor"/>
      </rPr>
      <t xml:space="preserve">Malware removal: </t>
    </r>
    <r>
      <rPr>
        <i/>
        <sz val="11"/>
        <color theme="1"/>
        <rFont val="Calibri"/>
        <family val="2"/>
        <scheme val="minor"/>
      </rPr>
      <t>Use tools and procedures for malware removal. This includes regularly scanning systems for malware and promptly removing any detected threats.
In addition to costs specific to the implementation of this tool, consider what software safeguards are in place within the broader digital environment. Determine any costs for updates to these that are attributable to this implementation.</t>
    </r>
  </si>
  <si>
    <r>
      <t xml:space="preserve">Specific elements or activities to consider include: 
</t>
    </r>
    <r>
      <rPr>
        <i/>
        <u/>
        <sz val="11"/>
        <color theme="1"/>
        <rFont val="Calibri"/>
        <family val="2"/>
        <scheme val="minor"/>
      </rPr>
      <t>Prevention</t>
    </r>
    <r>
      <rPr>
        <i/>
        <sz val="11"/>
        <color theme="1"/>
        <rFont val="Calibri"/>
        <family val="2"/>
        <scheme val="minor"/>
      </rPr>
      <t xml:space="preserve">
•  </t>
    </r>
    <r>
      <rPr>
        <b/>
        <i/>
        <sz val="11"/>
        <color theme="1"/>
        <rFont val="Calibri"/>
        <family val="2"/>
        <scheme val="minor"/>
      </rPr>
      <t xml:space="preserve">Risk management: </t>
    </r>
    <r>
      <rPr>
        <i/>
        <sz val="11"/>
        <color theme="1"/>
        <rFont val="Calibri"/>
        <family val="2"/>
        <scheme val="minor"/>
      </rPr>
      <t xml:space="preserve">Develop and maintain cybersecurity risk management and mitigation strategies. This includes identifying potential risks, assessing their impact, and planning for risk mitigation.
</t>
    </r>
    <r>
      <rPr>
        <b/>
        <i/>
        <sz val="11"/>
        <color theme="1"/>
        <rFont val="Calibri"/>
        <family val="2"/>
        <scheme val="minor"/>
      </rPr>
      <t>•  Disaster recovery plan:</t>
    </r>
    <r>
      <rPr>
        <i/>
        <sz val="11"/>
        <color theme="1"/>
        <rFont val="Calibri"/>
        <family val="2"/>
        <scheme val="minor"/>
      </rPr>
      <t xml:space="preserve"> Create and maintain a disaster recovery plan. This plan should outline the steps to be taken in case of a major incident or disaster and the roles and responsibilities for named individuals..
•  </t>
    </r>
    <r>
      <rPr>
        <b/>
        <i/>
        <sz val="11"/>
        <color theme="1"/>
        <rFont val="Calibri"/>
        <family val="2"/>
        <scheme val="minor"/>
      </rPr>
      <t xml:space="preserve">Test and revise contingency plans: </t>
    </r>
    <r>
      <rPr>
        <i/>
        <sz val="11"/>
        <color theme="1"/>
        <rFont val="Calibri"/>
        <family val="2"/>
        <scheme val="minor"/>
      </rPr>
      <t xml:space="preserve">Regularly test and update contingency plans to ensure they remain effective and relevant. This includes testing disaster recovery procedures, incident response plans, and business continuity plans.
•  </t>
    </r>
    <r>
      <rPr>
        <b/>
        <i/>
        <sz val="11"/>
        <color theme="1"/>
        <rFont val="Calibri"/>
        <family val="2"/>
        <scheme val="minor"/>
      </rPr>
      <t>Security incident response and recovery:</t>
    </r>
    <r>
      <rPr>
        <i/>
        <sz val="11"/>
        <color theme="1"/>
        <rFont val="Calibri"/>
        <family val="2"/>
        <scheme val="minor"/>
      </rPr>
      <t xml:space="preserve"> Establish incident response procedures to handle security breaches effectively. This plan should include procedures for containing the breach, notifying affected parties, conducting forensic analysis, implementing remediation measures to prevent future incidents, and contingency plan in case of a ransomware attack and should payment not be available..
•  </t>
    </r>
    <r>
      <rPr>
        <b/>
        <i/>
        <sz val="11"/>
        <color theme="1"/>
        <rFont val="Calibri"/>
        <family val="2"/>
        <scheme val="minor"/>
      </rPr>
      <t>Emergency mode operation plan:</t>
    </r>
    <r>
      <rPr>
        <i/>
        <sz val="11"/>
        <color theme="1"/>
        <rFont val="Calibri"/>
        <family val="2"/>
        <scheme val="minor"/>
      </rPr>
      <t xml:space="preserve"> Plan and test for emergency operations. This helps in ensuring that critical operations can continue even in the event of a disaster or major incident.
•  </t>
    </r>
    <r>
      <rPr>
        <b/>
        <i/>
        <sz val="11"/>
        <color theme="1"/>
        <rFont val="Calibri"/>
        <family val="2"/>
        <scheme val="minor"/>
      </rPr>
      <t>Cyber investigation and reporting:</t>
    </r>
    <r>
      <rPr>
        <i/>
        <sz val="11"/>
        <color theme="1"/>
        <rFont val="Calibri"/>
        <family val="2"/>
        <scheme val="minor"/>
      </rPr>
      <t xml:space="preserve"> Conduct cyber investigations in response to security incidents and report findings to relevant authorities. This includes collecting and analyzing evidence to determine the cause of the incident, the extent of the damage, and the parties involved.
•  </t>
    </r>
    <r>
      <rPr>
        <b/>
        <i/>
        <sz val="11"/>
        <color theme="1"/>
        <rFont val="Calibri"/>
        <family val="2"/>
        <scheme val="minor"/>
      </rPr>
      <t>Fix vulnerabilities:</t>
    </r>
    <r>
      <rPr>
        <i/>
        <sz val="11"/>
        <color theme="1"/>
        <rFont val="Calibri"/>
        <family val="2"/>
        <scheme val="minor"/>
      </rPr>
      <t xml:space="preserve"> Implement measures to fix identified vulnerabilities. This includes patching software, updating systems, and modifying security controls as necessary.</t>
    </r>
  </si>
  <si>
    <r>
      <rPr>
        <i/>
        <u/>
        <sz val="11"/>
        <color theme="1"/>
        <rFont val="Calibri"/>
        <family val="2"/>
        <scheme val="minor"/>
      </rPr>
      <t>Liability</t>
    </r>
    <r>
      <rPr>
        <i/>
        <sz val="11"/>
        <color theme="1"/>
        <rFont val="Calibri"/>
        <family val="2"/>
        <scheme val="minor"/>
      </rPr>
      <t xml:space="preserve">
•  </t>
    </r>
    <r>
      <rPr>
        <b/>
        <i/>
        <sz val="11"/>
        <color theme="1"/>
        <rFont val="Calibri"/>
        <family val="2"/>
        <scheme val="minor"/>
      </rPr>
      <t>Cyber liability and data insurance (or special fund to address liability):</t>
    </r>
    <r>
      <rPr>
        <i/>
        <sz val="11"/>
        <color theme="1"/>
        <rFont val="Calibri"/>
        <family val="2"/>
        <scheme val="minor"/>
      </rPr>
      <t xml:space="preserve"> Cyber liability and data insurance provides coverage for businesses against financial losses resulting from data breaches, cyberattacks, and other cyber-related incidents. This may include paying a ransom in a ransomware attack.
</t>
    </r>
    <r>
      <rPr>
        <i/>
        <u/>
        <sz val="11"/>
        <color theme="1"/>
        <rFont val="Calibri"/>
        <family val="2"/>
        <scheme val="minor"/>
      </rPr>
      <t>In case of cybercrime</t>
    </r>
    <r>
      <rPr>
        <i/>
        <sz val="11"/>
        <color theme="1"/>
        <rFont val="Calibri"/>
        <family val="2"/>
        <scheme val="minor"/>
      </rPr>
      <t xml:space="preserve">
•  </t>
    </r>
    <r>
      <rPr>
        <b/>
        <i/>
        <sz val="11"/>
        <color theme="1"/>
        <rFont val="Calibri"/>
        <family val="2"/>
        <scheme val="minor"/>
      </rPr>
      <t>Digital forensics:</t>
    </r>
    <r>
      <rPr>
        <i/>
        <sz val="11"/>
        <color theme="1"/>
        <rFont val="Calibri"/>
        <family val="2"/>
        <scheme val="minor"/>
      </rPr>
      <t xml:space="preserve"> Use digital forensics in the investigation of cybercrimes. This involves the collection and analysis of digital evidence to support the investigation and prosecution of cybercrime.
In addition to costs specific to the implementation of this tool, consider what incident response procedures are in place within the broader digital environment. Determine any costs for updates to these that are attributable to this implementation.</t>
    </r>
  </si>
  <si>
    <r>
      <t xml:space="preserve">Specific elements or activities to consider include: 
</t>
    </r>
    <r>
      <rPr>
        <i/>
        <u/>
        <sz val="11"/>
        <color theme="1"/>
        <rFont val="Calibri"/>
        <family val="2"/>
        <scheme val="minor"/>
      </rPr>
      <t>System administration</t>
    </r>
    <r>
      <rPr>
        <i/>
        <sz val="11"/>
        <color theme="1"/>
        <rFont val="Calibri"/>
        <family val="2"/>
        <scheme val="minor"/>
      </rPr>
      <t xml:space="preserve">
•  </t>
    </r>
    <r>
      <rPr>
        <b/>
        <i/>
        <sz val="11"/>
        <color theme="1"/>
        <rFont val="Calibri"/>
        <family val="2"/>
        <scheme val="minor"/>
      </rPr>
      <t xml:space="preserve">Secure configuration: </t>
    </r>
    <r>
      <rPr>
        <i/>
        <sz val="11"/>
        <color theme="1"/>
        <rFont val="Calibri"/>
        <family val="2"/>
        <scheme val="minor"/>
      </rPr>
      <t xml:space="preserve">Configure systems, hardware, and software securely. This includes disabling unnecessary services, configuring user permissions, and enabling security features.
•  </t>
    </r>
    <r>
      <rPr>
        <b/>
        <i/>
        <sz val="11"/>
        <color theme="1"/>
        <rFont val="Calibri"/>
        <family val="2"/>
        <scheme val="minor"/>
      </rPr>
      <t>Software security:</t>
    </r>
    <r>
      <rPr>
        <i/>
        <sz val="11"/>
        <color theme="1"/>
        <rFont val="Calibri"/>
        <family val="2"/>
        <scheme val="minor"/>
      </rPr>
      <t xml:space="preserve"> Ensure that all software used in the organization is secure. This includes using reputable software vendors and maintaining contracts for maintenance, regularly updating software, and removing unnecessary software.
•  </t>
    </r>
    <r>
      <rPr>
        <b/>
        <i/>
        <sz val="11"/>
        <color theme="1"/>
        <rFont val="Calibri"/>
        <family val="2"/>
        <scheme val="minor"/>
      </rPr>
      <t>System updates:</t>
    </r>
    <r>
      <rPr>
        <i/>
        <sz val="11"/>
        <color theme="1"/>
        <rFont val="Calibri"/>
        <family val="2"/>
        <scheme val="minor"/>
      </rPr>
      <t xml:space="preserve"> Regularly update hardware and adhere to software standard maintenance schedules. This helps in protecting against known vulnerabilities.
•  </t>
    </r>
    <r>
      <rPr>
        <b/>
        <i/>
        <sz val="11"/>
        <color theme="1"/>
        <rFont val="Calibri"/>
        <family val="2"/>
        <scheme val="minor"/>
      </rPr>
      <t xml:space="preserve">Patch management: </t>
    </r>
    <r>
      <rPr>
        <i/>
        <sz val="11"/>
        <color theme="1"/>
        <rFont val="Calibri"/>
        <family val="2"/>
        <scheme val="minor"/>
      </rPr>
      <t xml:space="preserve">Implement a patch management process to regularly update systems and software. This includes tracking, testing, and applying patches as they are released by vendors.
</t>
    </r>
    <r>
      <rPr>
        <i/>
        <u/>
        <sz val="11"/>
        <color theme="1"/>
        <rFont val="Calibri"/>
        <family val="2"/>
        <scheme val="minor"/>
      </rPr>
      <t>Helpdesk</t>
    </r>
    <r>
      <rPr>
        <i/>
        <sz val="11"/>
        <color theme="1"/>
        <rFont val="Calibri"/>
        <family val="2"/>
        <scheme val="minor"/>
      </rPr>
      <t xml:space="preserve">
•  </t>
    </r>
    <r>
      <rPr>
        <b/>
        <i/>
        <sz val="11"/>
        <color theme="1"/>
        <rFont val="Calibri"/>
        <family val="2"/>
        <scheme val="minor"/>
      </rPr>
      <t xml:space="preserve">Helpdesk support: </t>
    </r>
    <r>
      <rPr>
        <i/>
        <sz val="11"/>
        <color theme="1"/>
        <rFont val="Calibri"/>
        <family val="2"/>
        <scheme val="minor"/>
      </rPr>
      <t>Provide service for users to report security risks, and for junior staff to request support form senior security specialists. 
In addition to costs specific to the implementation of this tool, consider what configuration and updates occur within the broader digital environment. Determine any costs for updates to these that are attributable to this implementation.</t>
    </r>
  </si>
  <si>
    <t>December 2, 2024</t>
  </si>
  <si>
    <r>
      <rPr>
        <sz val="10"/>
        <color theme="1"/>
        <rFont val="Arial"/>
        <family val="2"/>
      </rPr>
      <t xml:space="preserve">Funded by: </t>
    </r>
    <r>
      <rPr>
        <b/>
        <sz val="10"/>
        <color theme="1"/>
        <rFont val="Arial"/>
        <family val="2"/>
      </rPr>
      <t>Bill &amp; Melinda Gates Foundation; US Centers for Disease Control and Prevention</t>
    </r>
  </si>
  <si>
    <t>The TCO is split into three general cost components covered in the phases of implementation: Development, Deployment and Operations. These components follow the general lifecycle of a digital health intervention, from initial planning and development, to deployment and scaling, and finally ongoing operations. The TCO also includes cybersecurity costs, which are considered across the lifecycle of a digital health intervention.</t>
  </si>
  <si>
    <r>
      <t>Instructions: DO NOT</t>
    </r>
    <r>
      <rPr>
        <sz val="11"/>
        <color theme="1" tint="0.14999847407452621"/>
        <rFont val="Calibri"/>
        <family val="2"/>
        <scheme val="minor"/>
      </rPr>
      <t xml:space="preserve"> use this tab if Input tabs are incomplete. The Benchmarking tab can only be used if the Input tabs have been fully completed. Benchmarking allows users to compare the relative costs of their digital health intervention to a TCO for national-level deployment of a Global Good (a mature Digital Public Good) in a low-resource setting. While there are valid reasons to deviate from the benchmark, users may choose to return to the Input tabs to revisit costs if given guidance. 
</t>
    </r>
    <r>
      <rPr>
        <b/>
        <sz val="11"/>
        <color theme="1" tint="0.14999847407452621"/>
        <rFont val="Calibri"/>
        <family val="2"/>
        <scheme val="minor"/>
      </rPr>
      <t xml:space="preserve">
Note: </t>
    </r>
    <r>
      <rPr>
        <sz val="11"/>
        <color theme="1" tint="0.14999847407452621"/>
        <rFont val="Calibri"/>
        <family val="2"/>
        <scheme val="minor"/>
      </rPr>
      <t xml:space="preserve">If the digital health intervention is intended for a large number of sites/end users, the development phase costs are likely to be a smaller portion of the TCO since those costs are not scalable. 
</t>
    </r>
    <r>
      <rPr>
        <b/>
        <sz val="11"/>
        <color theme="1" tint="0.14999847407452621"/>
        <rFont val="Calibri"/>
        <family val="2"/>
        <scheme val="minor"/>
      </rPr>
      <t>Note:</t>
    </r>
    <r>
      <rPr>
        <sz val="11"/>
        <color theme="1" tint="0.14999847407452621"/>
        <rFont val="Calibri"/>
        <family val="2"/>
        <scheme val="minor"/>
      </rPr>
      <t xml:space="preserve"> The Benchmarking tab does not currently contain cybersecurity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</si>
</sst>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Rs.-4009]\ #,##0"/>
    <numFmt numFmtId="167" formatCode="#,##0.0"/>
    <numFmt numFmtId="168" formatCode="&quot;$&quot;#,##0.0"/>
    <numFmt numFmtId="169" formatCode="\a."/>
    <numFmt numFmtId="170" formatCode="&quot;$&quot;#,##0"/>
    <numFmt numFmtId="171" formatCode="#,#00;;;"/>
    <numFmt numFmtId="172" formatCode="0.0"/>
    <numFmt numFmtId="173" formatCode="0.0%"/>
  </numFmts>
  <fonts count="101">
    <font>
      <sz val="11"/>
      <color theme="1"/>
      <name val="Calibri"/>
      <family val="2"/>
      <scheme val="minor"/>
    </font>
    <font>
      <b/>
      <sz val="11"/>
      <color theme="1"/>
      <name val="Calibri"/>
      <family val="2"/>
      <scheme val="minor"/>
    </font>
    <font>
      <sz val="11"/>
      <color theme="1"/>
      <name val="Calibri"/>
      <family val="2"/>
      <scheme val="minor"/>
    </font>
    <font>
      <b/>
      <sz val="10.5"/>
      <color theme="1"/>
      <name val="Calibri"/>
      <family val="2"/>
      <scheme val="minor"/>
    </font>
    <font>
      <sz val="10.5"/>
      <color theme="1"/>
      <name val="Calibri"/>
      <family val="2"/>
      <scheme val="minor"/>
    </font>
    <font>
      <sz val="10.5"/>
      <color theme="0"/>
      <name val="Calibri"/>
      <family val="2"/>
      <scheme val="minor"/>
    </font>
    <font>
      <sz val="10.5"/>
      <name val="Calibri"/>
      <family val="2"/>
      <scheme val="minor"/>
    </font>
    <font>
      <sz val="11"/>
      <color rgb="FF000000"/>
      <name val="Calibri"/>
      <family val="2"/>
    </font>
    <font>
      <sz val="11"/>
      <color theme="1"/>
      <name val="Calibri"/>
      <family val="2"/>
    </font>
    <font>
      <sz val="11"/>
      <name val="Calibri"/>
      <family val="2"/>
    </font>
    <font>
      <b/>
      <sz val="11"/>
      <color rgb="FFFFFFFF"/>
      <name val="Calibri"/>
      <family val="2"/>
    </font>
    <font>
      <sz val="11"/>
      <color rgb="FFFFFFFF"/>
      <name val="Calibri"/>
      <family val="2"/>
    </font>
    <font>
      <i/>
      <sz val="11"/>
      <color rgb="FF000000"/>
      <name val="Calibri"/>
      <family val="2"/>
    </font>
    <font>
      <b/>
      <sz val="10"/>
      <color rgb="FFFFFFFF"/>
      <name val="Calibri"/>
      <family val="2"/>
    </font>
    <font>
      <b/>
      <sz val="12"/>
      <color rgb="FFFFFFFF"/>
      <name val="Calibri"/>
      <family val="2"/>
    </font>
    <font>
      <sz val="10"/>
      <color rgb="FF000000"/>
      <name val="Calibri"/>
      <family val="2"/>
    </font>
    <font>
      <i/>
      <sz val="10"/>
      <color rgb="FF000000"/>
      <name val="Calibri"/>
      <family val="2"/>
    </font>
    <font>
      <sz val="10"/>
      <name val="Calibri"/>
      <family val="2"/>
    </font>
    <font>
      <sz val="10"/>
      <name val="Times New Roman"/>
      <family val="1"/>
    </font>
    <font>
      <sz val="11"/>
      <color rgb="FFFF0000"/>
      <name val="Calibri"/>
      <family val="2"/>
    </font>
    <font>
      <i/>
      <sz val="8"/>
      <color rgb="FF000000"/>
      <name val="Calibri"/>
      <family val="2"/>
    </font>
    <font>
      <b/>
      <sz val="11"/>
      <color rgb="FF000000"/>
      <name val="Calibri"/>
      <family val="2"/>
    </font>
    <font>
      <b/>
      <sz val="10"/>
      <name val="Calibri"/>
      <family val="2"/>
    </font>
    <font>
      <sz val="10"/>
      <color rgb="FFFF0000"/>
      <name val="Calibri"/>
      <family val="2"/>
    </font>
    <font>
      <i/>
      <sz val="10"/>
      <name val="Calibri"/>
      <family val="2"/>
    </font>
    <font>
      <b/>
      <sz val="10"/>
      <color rgb="FF000000"/>
      <name val="Calibri"/>
      <family val="2"/>
    </font>
    <font>
      <sz val="9"/>
      <color indexed="81"/>
      <name val="Calibri"/>
      <family val="2"/>
    </font>
    <font>
      <b/>
      <sz val="14"/>
      <color rgb="FF000000"/>
      <name val="Calibri"/>
      <family val="2"/>
    </font>
    <font>
      <b/>
      <i/>
      <sz val="14"/>
      <color rgb="FF1F497D"/>
      <name val="Calibri"/>
      <family val="2"/>
    </font>
    <font>
      <b/>
      <i/>
      <sz val="11"/>
      <color rgb="FFFF0000"/>
      <name val="Calibri"/>
      <family val="2"/>
    </font>
    <font>
      <b/>
      <sz val="11"/>
      <name val="Calibri"/>
      <family val="2"/>
    </font>
    <font>
      <b/>
      <sz val="12"/>
      <name val="Calibri"/>
      <family val="2"/>
    </font>
    <font>
      <b/>
      <sz val="12"/>
      <color rgb="FF000000"/>
      <name val="Calibri"/>
      <family val="2"/>
    </font>
    <font>
      <b/>
      <sz val="9"/>
      <color indexed="81"/>
      <name val="Calibri"/>
      <family val="2"/>
    </font>
    <font>
      <b/>
      <sz val="11"/>
      <color theme="0"/>
      <name val="Calibri"/>
      <family val="2"/>
      <scheme val="minor"/>
    </font>
    <font>
      <sz val="11"/>
      <name val="Calibri"/>
      <family val="2"/>
      <scheme val="minor"/>
    </font>
    <font>
      <b/>
      <sz val="14"/>
      <color theme="0"/>
      <name val="Calibri"/>
      <family val="2"/>
      <scheme val="minor"/>
    </font>
    <font>
      <b/>
      <u/>
      <sz val="11"/>
      <color theme="0"/>
      <name val="Calibri"/>
      <family val="2"/>
      <scheme val="minor"/>
    </font>
    <font>
      <b/>
      <sz val="10"/>
      <color theme="0"/>
      <name val="Calibri"/>
      <family val="2"/>
      <scheme val="minor"/>
    </font>
    <font>
      <sz val="10"/>
      <color theme="1"/>
      <name val="Calibri"/>
      <family val="2"/>
      <scheme val="minor"/>
    </font>
    <font>
      <sz val="12"/>
      <color theme="1"/>
      <name val="Calibri"/>
      <family val="2"/>
      <scheme val="minor"/>
    </font>
    <font>
      <sz val="12"/>
      <name val="Calibri"/>
      <family val="2"/>
      <scheme val="minor"/>
    </font>
    <font>
      <b/>
      <sz val="12"/>
      <color theme="0"/>
      <name val="Calibri"/>
      <family val="2"/>
      <scheme val="minor"/>
    </font>
    <font>
      <sz val="14"/>
      <name val="Calibri"/>
      <family val="2"/>
      <scheme val="minor"/>
    </font>
    <font>
      <b/>
      <sz val="26"/>
      <color rgb="FFFF0000"/>
      <name val="Calibri"/>
      <family val="2"/>
      <scheme val="minor"/>
    </font>
    <font>
      <b/>
      <sz val="12"/>
      <color theme="1"/>
      <name val="Calibri"/>
      <family val="2"/>
      <scheme val="minor"/>
    </font>
    <font>
      <u/>
      <sz val="11"/>
      <color theme="1"/>
      <name val="Calibri"/>
      <family val="2"/>
      <scheme val="minor"/>
    </font>
    <font>
      <sz val="11"/>
      <color rgb="FFFF0000"/>
      <name val="Calibri"/>
      <family val="2"/>
      <scheme val="minor"/>
    </font>
    <font>
      <u/>
      <sz val="11"/>
      <color theme="10"/>
      <name val="Calibri"/>
      <family val="2"/>
      <scheme val="minor"/>
    </font>
    <font>
      <sz val="11"/>
      <color theme="1" tint="0.14999847407452621"/>
      <name val="Calibri"/>
      <family val="2"/>
      <scheme val="minor"/>
    </font>
    <font>
      <b/>
      <sz val="11"/>
      <color theme="1" tint="0.14999847407452621"/>
      <name val="Calibri"/>
      <family val="2"/>
      <scheme val="minor"/>
    </font>
    <font>
      <b/>
      <sz val="16"/>
      <color theme="0"/>
      <name val="Calibri"/>
      <family val="2"/>
      <scheme val="minor"/>
    </font>
    <font>
      <b/>
      <sz val="11"/>
      <name val="Calibri"/>
      <family val="2"/>
      <scheme val="minor"/>
    </font>
    <font>
      <i/>
      <sz val="11"/>
      <color theme="1"/>
      <name val="Calibri"/>
      <family val="2"/>
      <scheme val="minor"/>
    </font>
    <font>
      <i/>
      <u/>
      <sz val="11"/>
      <color theme="10"/>
      <name val="Calibri"/>
      <family val="2"/>
      <scheme val="minor"/>
    </font>
    <font>
      <i/>
      <sz val="11"/>
      <color rgb="FFFF0000"/>
      <name val="Calibri"/>
      <family val="2"/>
      <scheme val="minor"/>
    </font>
    <font>
      <b/>
      <i/>
      <sz val="11"/>
      <color theme="1"/>
      <name val="Calibri"/>
      <family val="2"/>
      <scheme val="minor"/>
    </font>
    <font>
      <b/>
      <sz val="14"/>
      <color theme="3"/>
      <name val="Calibri"/>
      <family val="2"/>
      <scheme val="minor"/>
    </font>
    <font>
      <b/>
      <sz val="10"/>
      <color theme="0"/>
      <name val="Arial"/>
      <family val="2"/>
    </font>
    <font>
      <sz val="11"/>
      <color theme="0"/>
      <name val="Calibri"/>
      <family val="2"/>
      <scheme val="minor"/>
    </font>
    <font>
      <b/>
      <sz val="18"/>
      <color rgb="FFFF0000"/>
      <name val="Calibri"/>
      <family val="2"/>
      <scheme val="minor"/>
    </font>
    <font>
      <i/>
      <sz val="11"/>
      <name val="Calibri"/>
      <family val="2"/>
      <scheme val="minor"/>
    </font>
    <font>
      <b/>
      <sz val="10"/>
      <color theme="1"/>
      <name val="Arial"/>
      <family val="2"/>
    </font>
    <font>
      <i/>
      <sz val="11"/>
      <color theme="0"/>
      <name val="Calibri"/>
      <family val="2"/>
      <scheme val="minor"/>
    </font>
    <font>
      <b/>
      <sz val="14"/>
      <color theme="1"/>
      <name val="Calibri"/>
      <family val="2"/>
      <scheme val="minor"/>
    </font>
    <font>
      <b/>
      <u val="singleAccounting"/>
      <sz val="11"/>
      <color theme="1"/>
      <name val="Calibri"/>
      <family val="2"/>
      <scheme val="minor"/>
    </font>
    <font>
      <i/>
      <u/>
      <sz val="11"/>
      <color rgb="FF0563C1"/>
      <name val="Calibri"/>
      <family val="2"/>
      <scheme val="minor"/>
    </font>
    <font>
      <u/>
      <sz val="11"/>
      <color rgb="FF0563C1"/>
      <name val="Calibri"/>
      <family val="2"/>
      <scheme val="minor"/>
    </font>
    <font>
      <sz val="11"/>
      <color theme="0" tint="-0.34998626667073579"/>
      <name val="Calibri"/>
      <family val="2"/>
      <scheme val="minor"/>
    </font>
    <font>
      <b/>
      <sz val="11"/>
      <color theme="0" tint="-0.34998626667073579"/>
      <name val="Calibri"/>
      <family val="2"/>
      <scheme val="minor"/>
    </font>
    <font>
      <b/>
      <sz val="16"/>
      <color theme="1"/>
      <name val="Calibri"/>
      <family val="2"/>
      <scheme val="minor"/>
    </font>
    <font>
      <b/>
      <sz val="16"/>
      <color rgb="FFFF0000"/>
      <name val="Calibri"/>
      <family val="2"/>
      <scheme val="minor"/>
    </font>
    <font>
      <sz val="10"/>
      <color rgb="FF000000"/>
      <name val="Tahoma"/>
      <family val="2"/>
    </font>
    <font>
      <b/>
      <u/>
      <sz val="14"/>
      <color rgb="FFFF0000"/>
      <name val="Calibri"/>
      <family val="2"/>
      <scheme val="minor"/>
    </font>
    <font>
      <strike/>
      <sz val="11"/>
      <name val="Calibri"/>
      <family val="2"/>
      <scheme val="minor"/>
    </font>
    <font>
      <strike/>
      <sz val="11"/>
      <color theme="1"/>
      <name val="Calibri"/>
      <family val="2"/>
      <scheme val="minor"/>
    </font>
    <font>
      <i/>
      <strike/>
      <sz val="11"/>
      <color theme="1"/>
      <name val="Calibri"/>
      <family val="2"/>
      <scheme val="minor"/>
    </font>
    <font>
      <sz val="11"/>
      <color rgb="FF000000"/>
      <name val="Calibri"/>
      <family val="2"/>
      <scheme val="minor"/>
    </font>
    <font>
      <b/>
      <sz val="12"/>
      <color rgb="FFFF0000"/>
      <name val="Calibri"/>
      <family val="2"/>
      <scheme val="minor"/>
    </font>
    <font>
      <b/>
      <sz val="14"/>
      <color rgb="FFFF0000"/>
      <name val="Calibri"/>
      <family val="2"/>
      <scheme val="minor"/>
    </font>
    <font>
      <i/>
      <sz val="11"/>
      <color theme="1"/>
      <name val="Arial"/>
      <family val="2"/>
    </font>
    <font>
      <sz val="8"/>
      <color theme="1"/>
      <name val="Calibri"/>
      <family val="2"/>
      <scheme val="minor"/>
    </font>
    <font>
      <sz val="11"/>
      <color rgb="FF000000"/>
      <name val="Arial"/>
      <family val="2"/>
    </font>
    <font>
      <i/>
      <sz val="11"/>
      <color theme="1"/>
      <name val="Calibri (Body)_x0000_"/>
    </font>
    <font>
      <sz val="11"/>
      <color theme="1"/>
      <name val="Arial"/>
      <family val="2"/>
    </font>
    <font>
      <b/>
      <sz val="11"/>
      <color theme="1"/>
      <name val="Arial"/>
      <family val="2"/>
    </font>
    <font>
      <b/>
      <i/>
      <sz val="11"/>
      <color theme="1"/>
      <name val="Arial"/>
      <family val="2"/>
    </font>
    <font>
      <b/>
      <i/>
      <sz val="10"/>
      <color theme="0"/>
      <name val="Arial"/>
      <family val="2"/>
    </font>
    <font>
      <sz val="11"/>
      <color theme="10"/>
      <name val="Calibri (Body)_x0000_"/>
    </font>
    <font>
      <sz val="11"/>
      <name val="Calibri (Body)_x0000_"/>
    </font>
    <font>
      <sz val="10"/>
      <color rgb="FF50889F"/>
      <name val="Calibri"/>
      <family val="2"/>
      <scheme val="minor"/>
    </font>
    <font>
      <sz val="11"/>
      <color rgb="FF2E274F"/>
      <name val="Calibri"/>
      <family val="2"/>
      <scheme val="minor"/>
    </font>
    <font>
      <b/>
      <sz val="14"/>
      <color rgb="FF0A3743"/>
      <name val="Calibri"/>
      <family val="2"/>
      <scheme val="minor"/>
    </font>
    <font>
      <sz val="24"/>
      <color theme="1"/>
      <name val="Calibri"/>
      <family val="2"/>
      <scheme val="minor"/>
    </font>
    <font>
      <sz val="24"/>
      <color rgb="FF50889F"/>
      <name val="Calibri"/>
      <family val="2"/>
      <scheme val="minor"/>
    </font>
    <font>
      <sz val="10"/>
      <color theme="1"/>
      <name val="Arial"/>
      <family val="2"/>
    </font>
    <font>
      <sz val="11"/>
      <color rgb="FF0A3743"/>
      <name val="Calibri"/>
      <family val="2"/>
      <scheme val="minor"/>
    </font>
    <font>
      <sz val="11"/>
      <color rgb="FF50889F"/>
      <name val="Calibri"/>
      <family val="2"/>
      <scheme val="minor"/>
    </font>
    <font>
      <sz val="8"/>
      <name val="Calibri"/>
      <family val="2"/>
      <scheme val="minor"/>
    </font>
    <font>
      <sz val="11"/>
      <color theme="1" tint="0.499984740745262"/>
      <name val="Calibri"/>
      <family val="2"/>
      <scheme val="minor"/>
    </font>
    <font>
      <i/>
      <u/>
      <sz val="11"/>
      <color theme="1"/>
      <name val="Calibri"/>
      <family val="2"/>
      <scheme val="minor"/>
    </font>
  </fonts>
  <fills count="53">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FFFF"/>
        <bgColor rgb="FF000000"/>
      </patternFill>
    </fill>
    <fill>
      <patternFill patternType="solid">
        <fgColor rgb="FF244062"/>
        <bgColor rgb="FF000000"/>
      </patternFill>
    </fill>
    <fill>
      <patternFill patternType="solid">
        <fgColor rgb="FF16365C"/>
        <bgColor rgb="FF000000"/>
      </patternFill>
    </fill>
    <fill>
      <patternFill patternType="solid">
        <fgColor rgb="FFFDE9D9"/>
        <bgColor rgb="FF000000"/>
      </patternFill>
    </fill>
    <fill>
      <patternFill patternType="solid">
        <fgColor rgb="FFDCE6F1"/>
        <bgColor rgb="FF000000"/>
      </patternFill>
    </fill>
    <fill>
      <patternFill patternType="solid">
        <fgColor rgb="FFD8E4BC"/>
        <bgColor rgb="FF000000"/>
      </patternFill>
    </fill>
    <fill>
      <patternFill patternType="solid">
        <fgColor rgb="FF538DD5"/>
        <bgColor rgb="FF000000"/>
      </patternFill>
    </fill>
    <fill>
      <patternFill patternType="solid">
        <fgColor rgb="FF4F81BD"/>
        <bgColor rgb="FF000000"/>
      </patternFill>
    </fill>
    <fill>
      <patternFill patternType="solid">
        <fgColor rgb="FFD9D9D9"/>
        <bgColor rgb="FF000000"/>
      </patternFill>
    </fill>
    <fill>
      <patternFill patternType="solid">
        <fgColor rgb="FFCCFFCC"/>
        <bgColor rgb="FF000000"/>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FFFF99"/>
        <bgColor indexed="64"/>
      </patternFill>
    </fill>
    <fill>
      <patternFill patternType="solid">
        <fgColor theme="3"/>
        <bgColor indexed="64"/>
      </patternFill>
    </fill>
    <fill>
      <patternFill patternType="solid">
        <fgColor theme="4"/>
        <bgColor theme="4"/>
      </patternFill>
    </fill>
    <fill>
      <patternFill patternType="solid">
        <fgColor theme="0" tint="-0.499984740745262"/>
        <bgColor theme="4"/>
      </patternFill>
    </fill>
    <fill>
      <patternFill patternType="solid">
        <fgColor theme="2" tint="-9.9978637043366805E-2"/>
        <bgColor indexed="64"/>
      </patternFill>
    </fill>
    <fill>
      <patternFill patternType="solid">
        <fgColor theme="8" tint="0.59999389629810485"/>
        <bgColor indexed="65"/>
      </patternFill>
    </fill>
    <fill>
      <patternFill patternType="solid">
        <fgColor theme="9" tint="0.59999389629810485"/>
        <bgColor indexed="65"/>
      </patternFill>
    </fill>
    <fill>
      <patternFill patternType="solid">
        <fgColor rgb="FF0A3743"/>
        <bgColor indexed="64"/>
      </patternFill>
    </fill>
    <fill>
      <patternFill patternType="solid">
        <fgColor rgb="FF42536B"/>
        <bgColor indexed="64"/>
      </patternFill>
    </fill>
    <fill>
      <patternFill patternType="solid">
        <fgColor rgb="FFE2E7EE"/>
        <bgColor indexed="64"/>
      </patternFill>
    </fill>
    <fill>
      <patternFill patternType="solid">
        <fgColor rgb="FFCAD3E0"/>
        <bgColor indexed="64"/>
      </patternFill>
    </fill>
  </fills>
  <borders count="81">
    <border>
      <left/>
      <right/>
      <top/>
      <bottom/>
      <diagonal/>
    </border>
    <border>
      <left/>
      <right/>
      <top/>
      <bottom style="thin">
        <color indexed="64"/>
      </bottom>
      <diagonal/>
    </border>
    <border>
      <left/>
      <right/>
      <top style="thin">
        <color indexed="64"/>
      </top>
      <bottom/>
      <diagonal/>
    </border>
    <border>
      <left style="medium">
        <color auto="1"/>
      </left>
      <right/>
      <top style="medium">
        <color auto="1"/>
      </top>
      <bottom/>
      <diagonal/>
    </border>
    <border>
      <left/>
      <right/>
      <top style="medium">
        <color auto="1"/>
      </top>
      <bottom/>
      <diagonal/>
    </border>
    <border>
      <left style="medium">
        <color auto="1"/>
      </left>
      <right/>
      <top/>
      <bottom style="thin">
        <color auto="1"/>
      </bottom>
      <diagonal/>
    </border>
    <border>
      <left style="medium">
        <color auto="1"/>
      </left>
      <right/>
      <top/>
      <bottom/>
      <diagonal/>
    </border>
    <border>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hair">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top/>
      <bottom style="thin">
        <color theme="2" tint="-0.499984740745262"/>
      </bottom>
      <diagonal/>
    </border>
    <border>
      <left/>
      <right/>
      <top/>
      <bottom style="double">
        <color theme="2" tint="-0.499984740745262"/>
      </bottom>
      <diagonal/>
    </border>
    <border>
      <left style="thin">
        <color indexed="64"/>
      </left>
      <right/>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n">
        <color indexed="64"/>
      </right>
      <top/>
      <bottom/>
      <diagonal/>
    </border>
    <border>
      <left/>
      <right style="thin">
        <color indexed="64"/>
      </right>
      <top style="thin">
        <color indexed="64"/>
      </top>
      <bottom/>
      <diagonal/>
    </border>
    <border>
      <left style="thin">
        <color theme="4" tint="0.39997558519241921"/>
      </left>
      <right/>
      <top style="thin">
        <color theme="4" tint="0.39997558519241921"/>
      </top>
      <bottom/>
      <diagonal/>
    </border>
    <border>
      <left style="thin">
        <color theme="4" tint="0.39997558519241921"/>
      </left>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auto="1"/>
      </left>
      <right/>
      <top/>
      <bottom style="thin">
        <color auto="1"/>
      </bottom>
      <diagonal/>
    </border>
    <border>
      <left style="thin">
        <color theme="1"/>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auto="1"/>
      </bottom>
      <diagonal/>
    </border>
    <border>
      <left style="thin">
        <color theme="1"/>
      </left>
      <right style="thin">
        <color theme="1"/>
      </right>
      <top/>
      <bottom style="thin">
        <color indexed="64"/>
      </bottom>
      <diagonal/>
    </border>
    <border>
      <left style="thin">
        <color auto="1"/>
      </left>
      <right style="thin">
        <color auto="1"/>
      </right>
      <top style="thin">
        <color theme="1"/>
      </top>
      <bottom style="thin">
        <color auto="1"/>
      </bottom>
      <diagonal/>
    </border>
    <border>
      <left style="thin">
        <color indexed="64"/>
      </left>
      <right style="thin">
        <color theme="1"/>
      </right>
      <top style="thin">
        <color theme="1"/>
      </top>
      <bottom style="thin">
        <color indexed="64"/>
      </bottom>
      <diagonal/>
    </border>
  </borders>
  <cellStyleXfs count="12">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166" fontId="2" fillId="0" borderId="0"/>
    <xf numFmtId="166" fontId="7" fillId="0" borderId="0"/>
    <xf numFmtId="166" fontId="2" fillId="0" borderId="0"/>
    <xf numFmtId="166" fontId="18" fillId="0" borderId="0"/>
    <xf numFmtId="166" fontId="2" fillId="0" borderId="0"/>
    <xf numFmtId="0" fontId="48" fillId="0" borderId="0" applyNumberFormat="0" applyFill="0" applyBorder="0" applyAlignment="0" applyProtection="0"/>
    <xf numFmtId="0" fontId="2" fillId="47" borderId="0" applyNumberFormat="0" applyBorder="0" applyAlignment="0" applyProtection="0"/>
    <xf numFmtId="0" fontId="2" fillId="48" borderId="0" applyNumberFormat="0" applyBorder="0" applyAlignment="0" applyProtection="0"/>
  </cellStyleXfs>
  <cellXfs count="1086">
    <xf numFmtId="0" fontId="0" fillId="0" borderId="0" xfId="0"/>
    <xf numFmtId="9" fontId="4" fillId="0" borderId="0" xfId="3" applyFont="1" applyBorder="1" applyAlignment="1">
      <alignment wrapText="1"/>
    </xf>
    <xf numFmtId="164" fontId="4" fillId="0" borderId="0" xfId="1" applyNumberFormat="1" applyFont="1" applyBorder="1" applyAlignment="1"/>
    <xf numFmtId="9" fontId="4" fillId="0" borderId="0" xfId="3" applyFont="1" applyBorder="1" applyAlignment="1"/>
    <xf numFmtId="164" fontId="4" fillId="4" borderId="0" xfId="1" applyNumberFormat="1" applyFont="1" applyFill="1" applyBorder="1" applyAlignment="1"/>
    <xf numFmtId="164" fontId="3" fillId="3" borderId="0" xfId="1" applyNumberFormat="1" applyFont="1" applyFill="1" applyBorder="1" applyAlignment="1"/>
    <xf numFmtId="43" fontId="4" fillId="0" borderId="0" xfId="1" applyFont="1" applyBorder="1" applyAlignment="1"/>
    <xf numFmtId="9" fontId="4" fillId="4" borderId="0" xfId="3" applyFont="1" applyFill="1" applyBorder="1" applyAlignment="1"/>
    <xf numFmtId="164" fontId="3" fillId="4" borderId="0" xfId="1" applyNumberFormat="1" applyFont="1" applyFill="1" applyBorder="1" applyAlignment="1"/>
    <xf numFmtId="9" fontId="4" fillId="0" borderId="0" xfId="3" applyFont="1" applyFill="1" applyBorder="1" applyAlignment="1">
      <alignment wrapText="1"/>
    </xf>
    <xf numFmtId="9" fontId="4" fillId="3" borderId="0" xfId="3" applyFont="1" applyFill="1" applyBorder="1" applyAlignment="1">
      <alignment wrapText="1"/>
    </xf>
    <xf numFmtId="9" fontId="4" fillId="0" borderId="0" xfId="3" applyFont="1" applyBorder="1" applyAlignment="1">
      <alignment horizontal="left" wrapText="1"/>
    </xf>
    <xf numFmtId="164" fontId="4" fillId="4" borderId="0" xfId="3" applyNumberFormat="1" applyFont="1" applyFill="1" applyBorder="1" applyAlignment="1"/>
    <xf numFmtId="9" fontId="5" fillId="0" borderId="0" xfId="3" applyFont="1" applyBorder="1" applyAlignment="1"/>
    <xf numFmtId="164" fontId="5" fillId="0" borderId="0" xfId="3" applyNumberFormat="1" applyFont="1" applyBorder="1" applyAlignment="1"/>
    <xf numFmtId="0" fontId="7" fillId="6" borderId="0" xfId="0" applyFont="1" applyFill="1"/>
    <xf numFmtId="0" fontId="8" fillId="6" borderId="0" xfId="0" applyFont="1" applyFill="1"/>
    <xf numFmtId="166" fontId="7" fillId="6" borderId="3" xfId="4" applyFont="1" applyFill="1" applyBorder="1"/>
    <xf numFmtId="166" fontId="7" fillId="6" borderId="4" xfId="4" applyFont="1" applyFill="1" applyBorder="1"/>
    <xf numFmtId="166" fontId="7" fillId="6" borderId="4" xfId="4" applyFont="1" applyFill="1" applyBorder="1" applyAlignment="1">
      <alignment horizontal="right" indent="1"/>
    </xf>
    <xf numFmtId="166" fontId="7" fillId="6" borderId="0" xfId="4" applyFont="1" applyFill="1"/>
    <xf numFmtId="166" fontId="7" fillId="6" borderId="5" xfId="4" applyFont="1" applyFill="1" applyBorder="1"/>
    <xf numFmtId="166" fontId="9" fillId="6" borderId="0" xfId="4" applyFont="1" applyFill="1"/>
    <xf numFmtId="166" fontId="7" fillId="6" borderId="0" xfId="4" applyFont="1" applyFill="1" applyAlignment="1">
      <alignment horizontal="right" indent="1"/>
    </xf>
    <xf numFmtId="166" fontId="7" fillId="6" borderId="6" xfId="4" applyFont="1" applyFill="1" applyBorder="1"/>
    <xf numFmtId="166" fontId="7" fillId="6" borderId="2" xfId="4" applyFont="1" applyFill="1" applyBorder="1"/>
    <xf numFmtId="166" fontId="10" fillId="6" borderId="2" xfId="4" applyFont="1" applyFill="1" applyBorder="1"/>
    <xf numFmtId="166" fontId="11" fillId="6" borderId="2" xfId="4" applyFont="1" applyFill="1" applyBorder="1"/>
    <xf numFmtId="0" fontId="12" fillId="6" borderId="7" xfId="0" applyFont="1" applyFill="1" applyBorder="1"/>
    <xf numFmtId="0" fontId="8" fillId="6" borderId="2" xfId="0" applyFont="1" applyFill="1" applyBorder="1"/>
    <xf numFmtId="0" fontId="7" fillId="6" borderId="6" xfId="0" applyFont="1" applyFill="1" applyBorder="1"/>
    <xf numFmtId="166" fontId="13" fillId="6" borderId="0" xfId="0" applyNumberFormat="1" applyFont="1" applyFill="1"/>
    <xf numFmtId="166" fontId="14" fillId="7" borderId="8" xfId="5" applyFont="1" applyFill="1" applyBorder="1" applyAlignment="1">
      <alignment vertical="center" wrapText="1"/>
    </xf>
    <xf numFmtId="166" fontId="13" fillId="8" borderId="9" xfId="5" applyFont="1" applyFill="1" applyBorder="1" applyAlignment="1" applyProtection="1">
      <alignment horizontal="center" vertical="center" wrapText="1"/>
      <protection locked="0"/>
    </xf>
    <xf numFmtId="166" fontId="13" fillId="8" borderId="10" xfId="5" applyFont="1" applyFill="1" applyBorder="1" applyAlignment="1" applyProtection="1">
      <alignment horizontal="center" vertical="center" wrapText="1"/>
      <protection locked="0"/>
    </xf>
    <xf numFmtId="0" fontId="7" fillId="6" borderId="0" xfId="0" applyFont="1" applyFill="1" applyProtection="1">
      <protection locked="0"/>
    </xf>
    <xf numFmtId="3" fontId="15" fillId="9" borderId="11" xfId="6" applyNumberFormat="1" applyFont="1" applyFill="1" applyBorder="1" applyAlignment="1">
      <alignment horizontal="right" vertical="center" indent="1"/>
    </xf>
    <xf numFmtId="166" fontId="16" fillId="6" borderId="3" xfId="4" applyFont="1" applyFill="1" applyBorder="1" applyAlignment="1">
      <alignment vertical="center"/>
    </xf>
    <xf numFmtId="166" fontId="7" fillId="6" borderId="12" xfId="4" applyFont="1" applyFill="1" applyBorder="1" applyAlignment="1">
      <alignment vertical="center"/>
    </xf>
    <xf numFmtId="0" fontId="7" fillId="6" borderId="6" xfId="0" applyFont="1" applyFill="1" applyBorder="1" applyAlignment="1">
      <alignment vertical="center"/>
    </xf>
    <xf numFmtId="3" fontId="15" fillId="6" borderId="0" xfId="0" applyNumberFormat="1" applyFont="1" applyFill="1" applyAlignment="1">
      <alignment vertical="center"/>
    </xf>
    <xf numFmtId="166" fontId="15" fillId="10" borderId="5" xfId="0" applyNumberFormat="1" applyFont="1" applyFill="1" applyBorder="1" applyAlignment="1">
      <alignment horizontal="left" vertical="center" indent="1"/>
    </xf>
    <xf numFmtId="3" fontId="15" fillId="9" borderId="13" xfId="0" applyNumberFormat="1" applyFont="1" applyFill="1" applyBorder="1" applyAlignment="1" applyProtection="1">
      <alignment horizontal="right" vertical="center" indent="1"/>
      <protection locked="0"/>
    </xf>
    <xf numFmtId="0" fontId="7" fillId="6" borderId="0" xfId="0" applyFont="1" applyFill="1" applyAlignment="1" applyProtection="1">
      <alignment vertical="center"/>
      <protection locked="0"/>
    </xf>
    <xf numFmtId="44" fontId="7" fillId="0" borderId="11" xfId="4" applyNumberFormat="1" applyFont="1" applyBorder="1"/>
    <xf numFmtId="166" fontId="16" fillId="6" borderId="6" xfId="4" applyFont="1" applyFill="1" applyBorder="1" applyAlignment="1">
      <alignment vertical="center"/>
    </xf>
    <xf numFmtId="166" fontId="7" fillId="6" borderId="14" xfId="4" applyFont="1" applyFill="1" applyBorder="1" applyAlignment="1">
      <alignment vertical="center"/>
    </xf>
    <xf numFmtId="0" fontId="7" fillId="6" borderId="0" xfId="0" applyFont="1" applyFill="1" applyAlignment="1">
      <alignment vertical="center"/>
    </xf>
    <xf numFmtId="166" fontId="17" fillId="10" borderId="5" xfId="0" applyNumberFormat="1" applyFont="1" applyFill="1" applyBorder="1" applyAlignment="1">
      <alignment horizontal="left" vertical="center" indent="1"/>
    </xf>
    <xf numFmtId="44" fontId="7" fillId="11" borderId="11" xfId="4" applyNumberFormat="1" applyFont="1" applyFill="1" applyBorder="1"/>
    <xf numFmtId="166" fontId="16" fillId="6" borderId="15" xfId="4" applyFont="1" applyFill="1" applyBorder="1" applyAlignment="1">
      <alignment vertical="center"/>
    </xf>
    <xf numFmtId="0" fontId="7" fillId="6" borderId="16" xfId="0" applyFont="1" applyFill="1" applyBorder="1" applyAlignment="1">
      <alignment vertical="center"/>
    </xf>
    <xf numFmtId="166" fontId="15" fillId="10" borderId="17" xfId="0" applyNumberFormat="1" applyFont="1" applyFill="1" applyBorder="1" applyAlignment="1">
      <alignment horizontal="left" vertical="center" indent="1"/>
    </xf>
    <xf numFmtId="166" fontId="17" fillId="10" borderId="15" xfId="0" applyNumberFormat="1" applyFont="1" applyFill="1" applyBorder="1" applyAlignment="1">
      <alignment horizontal="left" vertical="center" indent="1"/>
    </xf>
    <xf numFmtId="3" fontId="15" fillId="9" borderId="11" xfId="0" applyNumberFormat="1" applyFont="1" applyFill="1" applyBorder="1" applyAlignment="1" applyProtection="1">
      <alignment horizontal="right" vertical="center" indent="1"/>
      <protection locked="0"/>
    </xf>
    <xf numFmtId="166" fontId="16" fillId="6" borderId="0" xfId="4" applyFont="1" applyFill="1" applyAlignment="1">
      <alignment vertical="center"/>
    </xf>
    <xf numFmtId="166" fontId="7" fillId="6" borderId="0" xfId="4" applyFont="1" applyFill="1" applyProtection="1">
      <protection locked="0"/>
    </xf>
    <xf numFmtId="166" fontId="7" fillId="6" borderId="0" xfId="4" applyFont="1" applyFill="1" applyAlignment="1" applyProtection="1">
      <alignment horizontal="right" indent="1"/>
      <protection locked="0"/>
    </xf>
    <xf numFmtId="166" fontId="14" fillId="7" borderId="18" xfId="7" applyFont="1" applyFill="1" applyBorder="1" applyAlignment="1">
      <alignment vertical="center"/>
    </xf>
    <xf numFmtId="166" fontId="13" fillId="7" borderId="19" xfId="7" applyFont="1" applyFill="1" applyBorder="1" applyAlignment="1" applyProtection="1">
      <alignment horizontal="center" vertical="center" wrapText="1"/>
      <protection locked="0"/>
    </xf>
    <xf numFmtId="166" fontId="13" fillId="7" borderId="20" xfId="7" applyFont="1" applyFill="1" applyBorder="1" applyAlignment="1" applyProtection="1">
      <alignment horizontal="center" vertical="center" wrapText="1"/>
      <protection locked="0"/>
    </xf>
    <xf numFmtId="166" fontId="19" fillId="6" borderId="0" xfId="4" applyFont="1" applyFill="1" applyAlignment="1">
      <alignment horizontal="left" indent="1"/>
    </xf>
    <xf numFmtId="166" fontId="15" fillId="10" borderId="21" xfId="5" applyFont="1" applyFill="1" applyBorder="1" applyAlignment="1">
      <alignment horizontal="left" vertical="center" indent="1"/>
    </xf>
    <xf numFmtId="3" fontId="15" fillId="9" borderId="11" xfId="6" applyNumberFormat="1" applyFont="1" applyFill="1" applyBorder="1" applyAlignment="1" applyProtection="1">
      <alignment horizontal="right" vertical="center" indent="1"/>
      <protection locked="0"/>
    </xf>
    <xf numFmtId="166" fontId="19" fillId="6" borderId="0" xfId="4" applyFont="1" applyFill="1" applyAlignment="1" applyProtection="1">
      <alignment horizontal="right" indent="1"/>
      <protection locked="0"/>
    </xf>
    <xf numFmtId="0" fontId="12" fillId="6" borderId="0" xfId="0" applyFont="1" applyFill="1" applyProtection="1">
      <protection locked="0"/>
    </xf>
    <xf numFmtId="166" fontId="15" fillId="10" borderId="22" xfId="5" applyFont="1" applyFill="1" applyBorder="1" applyAlignment="1">
      <alignment horizontal="left" vertical="center" indent="1"/>
    </xf>
    <xf numFmtId="166" fontId="15" fillId="10" borderId="22" xfId="5" applyFont="1" applyFill="1" applyBorder="1" applyAlignment="1" applyProtection="1">
      <alignment horizontal="left" vertical="center" indent="1"/>
      <protection locked="0"/>
    </xf>
    <xf numFmtId="0" fontId="19" fillId="6" borderId="0" xfId="0" applyFont="1" applyFill="1" applyAlignment="1" applyProtection="1">
      <alignment vertical="center"/>
      <protection locked="0"/>
    </xf>
    <xf numFmtId="0" fontId="20" fillId="6" borderId="0" xfId="0" applyFont="1" applyFill="1"/>
    <xf numFmtId="0" fontId="8" fillId="6" borderId="0" xfId="0" applyFont="1" applyFill="1" applyProtection="1">
      <protection locked="0"/>
    </xf>
    <xf numFmtId="9" fontId="17" fillId="9" borderId="11" xfId="6" applyNumberFormat="1" applyFont="1" applyFill="1" applyBorder="1" applyAlignment="1" applyProtection="1">
      <alignment horizontal="right" indent="1"/>
      <protection locked="0"/>
    </xf>
    <xf numFmtId="166" fontId="7" fillId="6" borderId="6" xfId="6" applyFont="1" applyFill="1" applyBorder="1"/>
    <xf numFmtId="166" fontId="14" fillId="8" borderId="8" xfId="5" applyFont="1" applyFill="1" applyBorder="1" applyAlignment="1">
      <alignment vertical="center" wrapText="1"/>
    </xf>
    <xf numFmtId="166" fontId="14" fillId="8" borderId="23" xfId="7" applyFont="1" applyFill="1" applyBorder="1" applyAlignment="1" applyProtection="1">
      <alignment horizontal="center" vertical="center" wrapText="1"/>
      <protection locked="0"/>
    </xf>
    <xf numFmtId="166" fontId="14" fillId="8" borderId="24" xfId="7" applyFont="1" applyFill="1" applyBorder="1" applyAlignment="1" applyProtection="1">
      <alignment horizontal="center" vertical="center" wrapText="1"/>
      <protection locked="0"/>
    </xf>
    <xf numFmtId="44" fontId="14" fillId="8" borderId="10" xfId="2" applyFont="1" applyFill="1" applyBorder="1" applyAlignment="1" applyProtection="1">
      <alignment horizontal="center" vertical="center" wrapText="1"/>
      <protection locked="0"/>
    </xf>
    <xf numFmtId="0" fontId="7" fillId="0" borderId="0" xfId="0" applyFont="1" applyProtection="1">
      <protection locked="0"/>
    </xf>
    <xf numFmtId="0" fontId="21" fillId="0" borderId="0" xfId="0" applyFont="1"/>
    <xf numFmtId="0" fontId="21" fillId="0" borderId="0" xfId="0" applyFont="1" applyAlignment="1">
      <alignment vertical="center"/>
    </xf>
    <xf numFmtId="166" fontId="10" fillId="12" borderId="5" xfId="7" applyFont="1" applyFill="1" applyBorder="1"/>
    <xf numFmtId="166" fontId="7" fillId="12" borderId="0" xfId="6" applyFont="1" applyFill="1" applyProtection="1">
      <protection locked="0"/>
    </xf>
    <xf numFmtId="44" fontId="7" fillId="12" borderId="14" xfId="2" applyFont="1" applyFill="1" applyBorder="1" applyProtection="1">
      <protection locked="0"/>
    </xf>
    <xf numFmtId="166" fontId="7" fillId="6" borderId="0" xfId="6" applyFont="1" applyFill="1" applyProtection="1">
      <protection locked="0"/>
    </xf>
    <xf numFmtId="0" fontId="21" fillId="0" borderId="0" xfId="0" applyFont="1" applyProtection="1">
      <protection locked="0"/>
    </xf>
    <xf numFmtId="0" fontId="7" fillId="0" borderId="0" xfId="0" applyFont="1" applyAlignment="1">
      <alignment vertical="center"/>
    </xf>
    <xf numFmtId="166" fontId="15" fillId="10" borderId="22" xfId="5" applyFont="1" applyFill="1" applyBorder="1" applyAlignment="1">
      <alignment horizontal="left" vertical="center"/>
    </xf>
    <xf numFmtId="166" fontId="15" fillId="10" borderId="25" xfId="6" applyFont="1" applyFill="1" applyBorder="1" applyAlignment="1" applyProtection="1">
      <alignment horizontal="center"/>
      <protection locked="0"/>
    </xf>
    <xf numFmtId="9" fontId="15" fillId="9" borderId="11" xfId="6" applyNumberFormat="1" applyFont="1" applyFill="1" applyBorder="1" applyAlignment="1" applyProtection="1">
      <alignment horizontal="right" indent="1"/>
      <protection locked="0"/>
    </xf>
    <xf numFmtId="44" fontId="7" fillId="10" borderId="26" xfId="2" applyFont="1" applyFill="1" applyBorder="1" applyProtection="1">
      <protection locked="0"/>
    </xf>
    <xf numFmtId="166" fontId="15" fillId="6" borderId="0" xfId="6" applyFont="1" applyFill="1" applyProtection="1">
      <protection locked="0"/>
    </xf>
    <xf numFmtId="0" fontId="8" fillId="0" borderId="0" xfId="0" applyFont="1" applyProtection="1">
      <protection locked="0"/>
    </xf>
    <xf numFmtId="166" fontId="22" fillId="10" borderId="22" xfId="7" applyFont="1" applyFill="1" applyBorder="1" applyAlignment="1">
      <alignment horizontal="left" vertical="center" indent="1"/>
    </xf>
    <xf numFmtId="6" fontId="17" fillId="10" borderId="25" xfId="7" applyNumberFormat="1" applyFont="1" applyFill="1" applyBorder="1" applyProtection="1">
      <protection locked="0"/>
    </xf>
    <xf numFmtId="6" fontId="17" fillId="10" borderId="25" xfId="7" applyNumberFormat="1" applyFont="1" applyFill="1" applyBorder="1" applyAlignment="1" applyProtection="1">
      <alignment horizontal="right" indent="1"/>
      <protection locked="0"/>
    </xf>
    <xf numFmtId="44" fontId="17" fillId="10" borderId="27" xfId="2" applyFont="1" applyFill="1" applyBorder="1" applyAlignment="1" applyProtection="1">
      <alignment horizontal="right" indent="1"/>
      <protection locked="0"/>
    </xf>
    <xf numFmtId="166" fontId="9" fillId="6" borderId="0" xfId="6" applyFont="1" applyFill="1" applyProtection="1">
      <protection locked="0"/>
    </xf>
    <xf numFmtId="166" fontId="15" fillId="10" borderId="22" xfId="5" applyFont="1" applyFill="1" applyBorder="1" applyAlignment="1">
      <alignment horizontal="left" vertical="center" indent="2"/>
    </xf>
    <xf numFmtId="166" fontId="15" fillId="10" borderId="25" xfId="6" applyFont="1" applyFill="1" applyBorder="1" applyProtection="1">
      <protection locked="0"/>
    </xf>
    <xf numFmtId="3" fontId="15" fillId="9" borderId="11" xfId="6" applyNumberFormat="1" applyFont="1" applyFill="1" applyBorder="1" applyAlignment="1" applyProtection="1">
      <alignment horizontal="right" indent="1"/>
      <protection locked="0"/>
    </xf>
    <xf numFmtId="44" fontId="15" fillId="9" borderId="11" xfId="2" applyFont="1" applyFill="1" applyBorder="1" applyAlignment="1" applyProtection="1">
      <alignment horizontal="right" indent="1"/>
      <protection locked="0"/>
    </xf>
    <xf numFmtId="8" fontId="23" fillId="6" borderId="0" xfId="6" applyNumberFormat="1" applyFont="1" applyFill="1" applyProtection="1">
      <protection locked="0"/>
    </xf>
    <xf numFmtId="8" fontId="15" fillId="6" borderId="0" xfId="6" applyNumberFormat="1" applyFont="1" applyFill="1" applyProtection="1">
      <protection locked="0"/>
    </xf>
    <xf numFmtId="166" fontId="15" fillId="10" borderId="28" xfId="5" applyFont="1" applyFill="1" applyBorder="1" applyAlignment="1">
      <alignment horizontal="left" vertical="center" indent="2"/>
    </xf>
    <xf numFmtId="166" fontId="15" fillId="10" borderId="2" xfId="5" applyFont="1" applyFill="1" applyBorder="1" applyAlignment="1">
      <alignment horizontal="left" vertical="center" indent="2"/>
    </xf>
    <xf numFmtId="166" fontId="15" fillId="10" borderId="2" xfId="6" applyFont="1" applyFill="1" applyBorder="1" applyProtection="1">
      <protection locked="0"/>
    </xf>
    <xf numFmtId="166" fontId="22" fillId="10" borderId="22" xfId="7" applyFont="1" applyFill="1" applyBorder="1" applyAlignment="1" applyProtection="1">
      <alignment horizontal="left" vertical="center" indent="1"/>
      <protection locked="0"/>
    </xf>
    <xf numFmtId="166" fontId="15" fillId="10" borderId="22" xfId="5" applyFont="1" applyFill="1" applyBorder="1" applyAlignment="1" applyProtection="1">
      <alignment horizontal="left" vertical="center" indent="2"/>
      <protection locked="0"/>
    </xf>
    <xf numFmtId="166" fontId="15" fillId="10" borderId="29" xfId="5" applyFont="1" applyFill="1" applyBorder="1" applyAlignment="1" applyProtection="1">
      <alignment horizontal="left" vertical="center" indent="2"/>
      <protection locked="0"/>
    </xf>
    <xf numFmtId="166" fontId="15" fillId="10" borderId="29" xfId="5" applyFont="1" applyFill="1" applyBorder="1" applyAlignment="1">
      <alignment horizontal="left" vertical="center" indent="2"/>
    </xf>
    <xf numFmtId="166" fontId="15" fillId="10" borderId="7" xfId="6" applyFont="1" applyFill="1" applyBorder="1" applyProtection="1">
      <protection locked="0"/>
    </xf>
    <xf numFmtId="166" fontId="15" fillId="6" borderId="30" xfId="5" applyFont="1" applyFill="1" applyBorder="1" applyAlignment="1">
      <alignment wrapText="1"/>
    </xf>
    <xf numFmtId="166" fontId="15" fillId="6" borderId="30" xfId="6" applyFont="1" applyFill="1" applyBorder="1" applyProtection="1">
      <protection locked="0"/>
    </xf>
    <xf numFmtId="166" fontId="15" fillId="6" borderId="30" xfId="6" applyFont="1" applyFill="1" applyBorder="1" applyAlignment="1" applyProtection="1">
      <alignment horizontal="right" indent="1"/>
      <protection locked="0"/>
    </xf>
    <xf numFmtId="44" fontId="15" fillId="6" borderId="30" xfId="2" applyFont="1" applyFill="1" applyBorder="1" applyAlignment="1" applyProtection="1">
      <alignment horizontal="right" indent="1"/>
      <protection locked="0"/>
    </xf>
    <xf numFmtId="166" fontId="10" fillId="12" borderId="8" xfId="7" applyFont="1" applyFill="1" applyBorder="1"/>
    <xf numFmtId="166" fontId="10" fillId="12" borderId="9" xfId="7" applyFont="1" applyFill="1" applyBorder="1" applyAlignment="1" applyProtection="1">
      <alignment horizontal="center"/>
      <protection locked="0"/>
    </xf>
    <xf numFmtId="44" fontId="10" fillId="12" borderId="10" xfId="2" applyFont="1" applyFill="1" applyBorder="1" applyAlignment="1" applyProtection="1">
      <alignment horizontal="center"/>
      <protection locked="0"/>
    </xf>
    <xf numFmtId="166" fontId="17" fillId="10" borderId="22" xfId="7" applyFont="1" applyFill="1" applyBorder="1" applyAlignment="1">
      <alignment horizontal="left" vertical="center" wrapText="1" indent="2"/>
    </xf>
    <xf numFmtId="166" fontId="17" fillId="6" borderId="0" xfId="7" applyFont="1" applyFill="1" applyProtection="1">
      <protection locked="0"/>
    </xf>
    <xf numFmtId="166" fontId="16" fillId="6" borderId="21" xfId="5" applyFont="1" applyFill="1" applyBorder="1" applyAlignment="1" applyProtection="1">
      <alignment horizontal="left" vertical="center" wrapText="1" indent="2"/>
      <protection locked="0"/>
    </xf>
    <xf numFmtId="166" fontId="16" fillId="6" borderId="21" xfId="5" applyFont="1" applyFill="1" applyBorder="1" applyAlignment="1">
      <alignment horizontal="left" vertical="center" wrapText="1" indent="2"/>
    </xf>
    <xf numFmtId="6" fontId="17" fillId="10" borderId="31" xfId="7" applyNumberFormat="1" applyFont="1" applyFill="1" applyBorder="1" applyProtection="1">
      <protection locked="0"/>
    </xf>
    <xf numFmtId="166" fontId="17" fillId="10" borderId="28" xfId="7" applyFont="1" applyFill="1" applyBorder="1" applyAlignment="1">
      <alignment horizontal="left" vertical="center" wrapText="1" indent="2"/>
    </xf>
    <xf numFmtId="6" fontId="17" fillId="10" borderId="2" xfId="7" applyNumberFormat="1" applyFont="1" applyFill="1" applyBorder="1" applyProtection="1">
      <protection locked="0"/>
    </xf>
    <xf numFmtId="6" fontId="22" fillId="10" borderId="2" xfId="7" applyNumberFormat="1" applyFont="1" applyFill="1" applyBorder="1" applyAlignment="1" applyProtection="1">
      <alignment horizontal="right"/>
      <protection locked="0"/>
    </xf>
    <xf numFmtId="44" fontId="22" fillId="0" borderId="11" xfId="7" applyNumberFormat="1" applyFont="1" applyBorder="1" applyProtection="1">
      <protection locked="0"/>
    </xf>
    <xf numFmtId="166" fontId="22" fillId="10" borderId="8" xfId="7" applyFont="1" applyFill="1" applyBorder="1" applyAlignment="1">
      <alignment horizontal="left" vertical="center" wrapText="1" indent="1"/>
    </xf>
    <xf numFmtId="6" fontId="17" fillId="10" borderId="9" xfId="7" applyNumberFormat="1" applyFont="1" applyFill="1" applyBorder="1" applyProtection="1">
      <protection locked="0"/>
    </xf>
    <xf numFmtId="6" fontId="17" fillId="10" borderId="9" xfId="7" applyNumberFormat="1" applyFont="1" applyFill="1" applyBorder="1" applyAlignment="1" applyProtection="1">
      <alignment horizontal="right" indent="1"/>
      <protection locked="0"/>
    </xf>
    <xf numFmtId="44" fontId="17" fillId="10" borderId="14" xfId="2" applyFont="1" applyFill="1" applyBorder="1" applyAlignment="1" applyProtection="1">
      <alignment horizontal="right" indent="1"/>
      <protection locked="0"/>
    </xf>
    <xf numFmtId="3" fontId="8" fillId="6" borderId="0" xfId="0" applyNumberFormat="1" applyFont="1" applyFill="1" applyProtection="1">
      <protection locked="0"/>
    </xf>
    <xf numFmtId="166" fontId="17" fillId="10" borderId="22" xfId="7" applyFont="1" applyFill="1" applyBorder="1" applyAlignment="1">
      <alignment horizontal="left" vertical="center" indent="2"/>
    </xf>
    <xf numFmtId="44" fontId="17" fillId="9" borderId="11" xfId="2" applyFont="1" applyFill="1" applyBorder="1" applyAlignment="1" applyProtection="1">
      <alignment horizontal="right" indent="1"/>
      <protection locked="0"/>
    </xf>
    <xf numFmtId="44" fontId="7" fillId="6" borderId="0" xfId="0" applyNumberFormat="1" applyFont="1" applyFill="1" applyAlignment="1">
      <alignment vertical="center"/>
    </xf>
    <xf numFmtId="166" fontId="22" fillId="10" borderId="8" xfId="7" applyFont="1" applyFill="1" applyBorder="1" applyAlignment="1" applyProtection="1">
      <alignment horizontal="left" vertical="center" wrapText="1" indent="1"/>
      <protection locked="0"/>
    </xf>
    <xf numFmtId="166" fontId="17" fillId="10" borderId="22" xfId="7" applyFont="1" applyFill="1" applyBorder="1" applyAlignment="1" applyProtection="1">
      <alignment horizontal="left" vertical="center" wrapText="1" indent="2"/>
      <protection locked="0"/>
    </xf>
    <xf numFmtId="166" fontId="17" fillId="10" borderId="22" xfId="7" applyFont="1" applyFill="1" applyBorder="1" applyAlignment="1" applyProtection="1">
      <alignment horizontal="left" vertical="center" indent="2"/>
      <protection locked="0"/>
    </xf>
    <xf numFmtId="166" fontId="7" fillId="6" borderId="0" xfId="6" applyFont="1" applyFill="1"/>
    <xf numFmtId="6" fontId="22" fillId="10" borderId="2" xfId="7" applyNumberFormat="1" applyFont="1" applyFill="1" applyBorder="1" applyAlignment="1" applyProtection="1">
      <alignment horizontal="right" vertical="top"/>
      <protection locked="0"/>
    </xf>
    <xf numFmtId="0" fontId="19" fillId="6" borderId="0" xfId="0" applyFont="1" applyFill="1" applyProtection="1">
      <protection locked="0"/>
    </xf>
    <xf numFmtId="166" fontId="7" fillId="0" borderId="6" xfId="6" applyFont="1" applyBorder="1"/>
    <xf numFmtId="0" fontId="7" fillId="0" borderId="0" xfId="0" applyFont="1"/>
    <xf numFmtId="166" fontId="17" fillId="0" borderId="28" xfId="7" applyFont="1" applyBorder="1" applyAlignment="1">
      <alignment horizontal="left" vertical="center" indent="2"/>
    </xf>
    <xf numFmtId="6" fontId="17" fillId="0" borderId="2" xfId="7" applyNumberFormat="1" applyFont="1" applyBorder="1" applyProtection="1">
      <protection locked="0"/>
    </xf>
    <xf numFmtId="6" fontId="22" fillId="0" borderId="2" xfId="7" applyNumberFormat="1" applyFont="1" applyBorder="1" applyProtection="1">
      <protection locked="0"/>
    </xf>
    <xf numFmtId="8" fontId="22" fillId="0" borderId="14" xfId="7" applyNumberFormat="1" applyFont="1" applyBorder="1" applyProtection="1">
      <protection locked="0"/>
    </xf>
    <xf numFmtId="166" fontId="17" fillId="0" borderId="0" xfId="7" applyFont="1" applyProtection="1">
      <protection locked="0"/>
    </xf>
    <xf numFmtId="0" fontId="19" fillId="0" borderId="0" xfId="0" applyFont="1" applyProtection="1">
      <protection locked="0"/>
    </xf>
    <xf numFmtId="166" fontId="10" fillId="13" borderId="8" xfId="7" applyFont="1" applyFill="1" applyBorder="1"/>
    <xf numFmtId="166" fontId="10" fillId="13" borderId="9" xfId="7" applyFont="1" applyFill="1" applyBorder="1" applyAlignment="1" applyProtection="1">
      <alignment horizontal="center"/>
      <protection locked="0"/>
    </xf>
    <xf numFmtId="44" fontId="10" fillId="13" borderId="10" xfId="2" applyFont="1" applyFill="1" applyBorder="1" applyAlignment="1" applyProtection="1">
      <alignment horizontal="center"/>
      <protection locked="0"/>
    </xf>
    <xf numFmtId="166" fontId="17" fillId="10" borderId="22" xfId="7" applyFont="1" applyFill="1" applyBorder="1" applyAlignment="1">
      <alignment horizontal="left" vertical="center" indent="1"/>
    </xf>
    <xf numFmtId="9" fontId="15" fillId="9" borderId="11" xfId="5" applyNumberFormat="1" applyFont="1" applyFill="1" applyBorder="1" applyAlignment="1" applyProtection="1">
      <alignment horizontal="right" indent="1"/>
      <protection locked="0"/>
    </xf>
    <xf numFmtId="44" fontId="7" fillId="10" borderId="31" xfId="2" applyFont="1" applyFill="1" applyBorder="1" applyProtection="1">
      <protection locked="0"/>
    </xf>
    <xf numFmtId="3" fontId="15" fillId="10" borderId="2" xfId="5" applyNumberFormat="1" applyFont="1" applyFill="1" applyBorder="1" applyAlignment="1" applyProtection="1">
      <alignment horizontal="right" indent="1"/>
      <protection locked="0"/>
    </xf>
    <xf numFmtId="167" fontId="15" fillId="9" borderId="11" xfId="5" applyNumberFormat="1" applyFont="1" applyFill="1" applyBorder="1" applyAlignment="1" applyProtection="1">
      <alignment horizontal="right" indent="1"/>
      <protection locked="0"/>
    </xf>
    <xf numFmtId="44" fontId="15" fillId="9" borderId="32" xfId="2" applyFont="1" applyFill="1" applyBorder="1" applyAlignment="1" applyProtection="1">
      <alignment horizontal="right" indent="1"/>
      <protection locked="0"/>
    </xf>
    <xf numFmtId="166" fontId="15" fillId="10" borderId="31" xfId="6" applyFont="1" applyFill="1" applyBorder="1" applyProtection="1">
      <protection locked="0"/>
    </xf>
    <xf numFmtId="166" fontId="17" fillId="10" borderId="15" xfId="7" applyFont="1" applyFill="1" applyBorder="1" applyAlignment="1">
      <alignment horizontal="left" vertical="center" indent="2"/>
    </xf>
    <xf numFmtId="166" fontId="15" fillId="10" borderId="33" xfId="6" applyFont="1" applyFill="1" applyBorder="1" applyProtection="1">
      <protection locked="0"/>
    </xf>
    <xf numFmtId="6" fontId="22" fillId="10" borderId="32" xfId="7" applyNumberFormat="1" applyFont="1" applyFill="1" applyBorder="1" applyAlignment="1" applyProtection="1">
      <alignment horizontal="right" vertical="top"/>
      <protection locked="0"/>
    </xf>
    <xf numFmtId="166" fontId="7" fillId="6" borderId="0" xfId="6" applyFont="1" applyFill="1" applyAlignment="1" applyProtection="1">
      <alignment horizontal="right" indent="1"/>
      <protection locked="0"/>
    </xf>
    <xf numFmtId="44" fontId="7" fillId="6" borderId="0" xfId="2" applyFont="1" applyFill="1" applyBorder="1" applyAlignment="1" applyProtection="1">
      <alignment horizontal="right" indent="1"/>
      <protection locked="0"/>
    </xf>
    <xf numFmtId="166" fontId="8" fillId="6" borderId="0" xfId="6" applyFont="1" applyFill="1"/>
    <xf numFmtId="164" fontId="7" fillId="6" borderId="0" xfId="1" applyNumberFormat="1" applyFont="1" applyFill="1" applyBorder="1" applyProtection="1">
      <protection locked="0"/>
    </xf>
    <xf numFmtId="166" fontId="14" fillId="12" borderId="8" xfId="5" applyFont="1" applyFill="1" applyBorder="1" applyAlignment="1">
      <alignment vertical="center" wrapText="1"/>
    </xf>
    <xf numFmtId="166" fontId="13" fillId="12" borderId="9" xfId="5" applyFont="1" applyFill="1" applyBorder="1" applyAlignment="1" applyProtection="1">
      <alignment horizontal="center" vertical="center" wrapText="1"/>
      <protection locked="0"/>
    </xf>
    <xf numFmtId="166" fontId="13" fillId="12" borderId="10" xfId="5" applyFont="1" applyFill="1" applyBorder="1" applyAlignment="1" applyProtection="1">
      <alignment horizontal="center" vertical="center" wrapText="1"/>
      <protection locked="0"/>
    </xf>
    <xf numFmtId="166" fontId="15" fillId="10" borderId="5" xfId="0" applyNumberFormat="1" applyFont="1" applyFill="1" applyBorder="1" applyAlignment="1">
      <alignment horizontal="left" vertical="center" wrapText="1" indent="1"/>
    </xf>
    <xf numFmtId="3" fontId="15" fillId="0" borderId="13" xfId="0" applyNumberFormat="1" applyFont="1" applyBorder="1" applyAlignment="1">
      <alignment horizontal="right" vertical="center" indent="1"/>
    </xf>
    <xf numFmtId="0" fontId="19" fillId="6" borderId="0" xfId="0" applyFont="1" applyFill="1"/>
    <xf numFmtId="166" fontId="25" fillId="10" borderId="5" xfId="0" applyNumberFormat="1" applyFont="1" applyFill="1" applyBorder="1" applyAlignment="1">
      <alignment horizontal="left" vertical="center" indent="1"/>
    </xf>
    <xf numFmtId="166" fontId="8" fillId="6" borderId="4" xfId="4" applyFont="1" applyFill="1" applyBorder="1" applyAlignment="1">
      <alignment horizontal="center"/>
    </xf>
    <xf numFmtId="166" fontId="7" fillId="6" borderId="4" xfId="4" applyFont="1" applyFill="1" applyBorder="1" applyAlignment="1">
      <alignment horizontal="left"/>
    </xf>
    <xf numFmtId="166" fontId="7" fillId="6" borderId="14" xfId="4" applyFont="1" applyFill="1" applyBorder="1"/>
    <xf numFmtId="0" fontId="8" fillId="0" borderId="0" xfId="0" applyFont="1"/>
    <xf numFmtId="166" fontId="7" fillId="6" borderId="0" xfId="4" applyFont="1" applyFill="1" applyAlignment="1">
      <alignment horizontal="center"/>
    </xf>
    <xf numFmtId="166" fontId="7" fillId="6" borderId="0" xfId="4" applyFont="1" applyFill="1" applyAlignment="1">
      <alignment horizontal="left"/>
    </xf>
    <xf numFmtId="166" fontId="27" fillId="6" borderId="0" xfId="4" applyFont="1" applyFill="1" applyAlignment="1">
      <alignment horizontal="left"/>
    </xf>
    <xf numFmtId="166" fontId="7" fillId="6" borderId="1" xfId="4" applyFont="1" applyFill="1" applyBorder="1" applyAlignment="1">
      <alignment horizontal="center"/>
    </xf>
    <xf numFmtId="166" fontId="7" fillId="6" borderId="1" xfId="4" applyFont="1" applyFill="1" applyBorder="1"/>
    <xf numFmtId="166" fontId="7" fillId="6" borderId="1" xfId="4" applyFont="1" applyFill="1" applyBorder="1" applyAlignment="1">
      <alignment horizontal="left"/>
    </xf>
    <xf numFmtId="166" fontId="7" fillId="6" borderId="1" xfId="4" applyFont="1" applyFill="1" applyBorder="1" applyAlignment="1">
      <alignment horizontal="right" indent="1"/>
    </xf>
    <xf numFmtId="0" fontId="7" fillId="6" borderId="1" xfId="0" applyFont="1" applyFill="1" applyBorder="1"/>
    <xf numFmtId="0" fontId="7" fillId="6" borderId="26" xfId="0" applyFont="1" applyFill="1" applyBorder="1"/>
    <xf numFmtId="166" fontId="7" fillId="6" borderId="2" xfId="4" applyFont="1" applyFill="1" applyBorder="1" applyAlignment="1">
      <alignment horizontal="center"/>
    </xf>
    <xf numFmtId="166" fontId="7" fillId="6" borderId="0" xfId="4" applyFont="1" applyFill="1" applyAlignment="1">
      <alignment horizontal="left" indent="1"/>
    </xf>
    <xf numFmtId="0" fontId="7" fillId="6" borderId="2" xfId="0" applyFont="1" applyFill="1" applyBorder="1"/>
    <xf numFmtId="0" fontId="7" fillId="6" borderId="27" xfId="0" applyFont="1" applyFill="1" applyBorder="1"/>
    <xf numFmtId="0" fontId="7" fillId="6" borderId="0" xfId="0" applyFont="1" applyFill="1" applyAlignment="1">
      <alignment horizontal="center"/>
    </xf>
    <xf numFmtId="0" fontId="28" fillId="6" borderId="0" xfId="0" applyFont="1" applyFill="1" applyAlignment="1">
      <alignment horizontal="left" vertical="top"/>
    </xf>
    <xf numFmtId="0" fontId="29" fillId="6" borderId="0" xfId="0" applyFont="1" applyFill="1" applyAlignment="1">
      <alignment horizontal="left" vertical="top"/>
    </xf>
    <xf numFmtId="0" fontId="7" fillId="6" borderId="0" xfId="0" applyFont="1" applyFill="1" applyAlignment="1">
      <alignment horizontal="left"/>
    </xf>
    <xf numFmtId="0" fontId="7" fillId="6" borderId="14" xfId="0" applyFont="1" applyFill="1" applyBorder="1" applyProtection="1">
      <protection locked="0"/>
    </xf>
    <xf numFmtId="166" fontId="19" fillId="6" borderId="1" xfId="4" applyFont="1" applyFill="1" applyBorder="1"/>
    <xf numFmtId="166" fontId="8" fillId="6" borderId="0" xfId="4" applyFont="1" applyFill="1" applyAlignment="1">
      <alignment horizontal="center" wrapText="1"/>
    </xf>
    <xf numFmtId="166" fontId="10" fillId="8" borderId="8" xfId="8" applyFont="1" applyFill="1" applyBorder="1" applyAlignment="1">
      <alignment horizontal="center" vertical="center"/>
    </xf>
    <xf numFmtId="166" fontId="10" fillId="8" borderId="9" xfId="8" applyFont="1" applyFill="1" applyBorder="1" applyAlignment="1">
      <alignment horizontal="center" vertical="center"/>
    </xf>
    <xf numFmtId="0" fontId="10" fillId="8" borderId="9" xfId="7" applyNumberFormat="1" applyFont="1" applyFill="1" applyBorder="1" applyAlignment="1">
      <alignment horizontal="center" vertical="center"/>
    </xf>
    <xf numFmtId="0" fontId="30" fillId="14" borderId="34" xfId="0" applyFont="1" applyFill="1" applyBorder="1" applyAlignment="1">
      <alignment horizontal="center" vertical="center"/>
    </xf>
    <xf numFmtId="166" fontId="13" fillId="12" borderId="6" xfId="8" applyFont="1" applyFill="1" applyBorder="1" applyAlignment="1">
      <alignment horizontal="left" vertical="center" indent="1"/>
    </xf>
    <xf numFmtId="166" fontId="13" fillId="12" borderId="0" xfId="8" applyFont="1" applyFill="1" applyAlignment="1">
      <alignment horizontal="left" vertical="center" indent="1"/>
    </xf>
    <xf numFmtId="3" fontId="10" fillId="12" borderId="1" xfId="7" applyNumberFormat="1" applyFont="1" applyFill="1" applyBorder="1" applyAlignment="1">
      <alignment horizontal="left"/>
    </xf>
    <xf numFmtId="3" fontId="10" fillId="12" borderId="25" xfId="7" applyNumberFormat="1" applyFont="1" applyFill="1" applyBorder="1" applyAlignment="1">
      <alignment horizontal="left"/>
    </xf>
    <xf numFmtId="3" fontId="10" fillId="12" borderId="35" xfId="7" applyNumberFormat="1" applyFont="1" applyFill="1" applyBorder="1" applyAlignment="1">
      <alignment horizontal="left"/>
    </xf>
    <xf numFmtId="166" fontId="25" fillId="6" borderId="22" xfId="8" applyFont="1" applyFill="1" applyBorder="1" applyAlignment="1">
      <alignment horizontal="left" indent="2"/>
    </xf>
    <xf numFmtId="166" fontId="25" fillId="6" borderId="25" xfId="8" applyFont="1" applyFill="1" applyBorder="1" applyAlignment="1">
      <alignment horizontal="left" indent="2"/>
    </xf>
    <xf numFmtId="42" fontId="25" fillId="6" borderId="25" xfId="2" applyNumberFormat="1" applyFont="1" applyFill="1" applyBorder="1" applyAlignment="1">
      <alignment horizontal="left"/>
    </xf>
    <xf numFmtId="165" fontId="21" fillId="14" borderId="35" xfId="0" applyNumberFormat="1" applyFont="1" applyFill="1" applyBorder="1" applyAlignment="1">
      <alignment horizontal="left"/>
    </xf>
    <xf numFmtId="166" fontId="25" fillId="6" borderId="25" xfId="8" applyFont="1" applyFill="1" applyBorder="1" applyAlignment="1">
      <alignment horizontal="right" indent="2"/>
    </xf>
    <xf numFmtId="165" fontId="25" fillId="6" borderId="25" xfId="2" applyNumberFormat="1" applyFont="1" applyFill="1" applyBorder="1" applyAlignment="1">
      <alignment horizontal="left"/>
    </xf>
    <xf numFmtId="166" fontId="25" fillId="6" borderId="28" xfId="8" applyFont="1" applyFill="1" applyBorder="1" applyAlignment="1">
      <alignment horizontal="left" indent="2"/>
    </xf>
    <xf numFmtId="166" fontId="25" fillId="6" borderId="2" xfId="8" applyFont="1" applyFill="1" applyBorder="1" applyAlignment="1">
      <alignment horizontal="left" indent="2"/>
    </xf>
    <xf numFmtId="42" fontId="25" fillId="6" borderId="2" xfId="2" applyNumberFormat="1" applyFont="1" applyFill="1" applyBorder="1" applyAlignment="1">
      <alignment horizontal="left"/>
    </xf>
    <xf numFmtId="165" fontId="21" fillId="14" borderId="36" xfId="0" applyNumberFormat="1" applyFont="1" applyFill="1" applyBorder="1" applyAlignment="1">
      <alignment horizontal="left"/>
    </xf>
    <xf numFmtId="166" fontId="15" fillId="6" borderId="6" xfId="8" applyFont="1" applyFill="1" applyBorder="1" applyAlignment="1">
      <alignment horizontal="left" indent="4"/>
    </xf>
    <xf numFmtId="166" fontId="15" fillId="6" borderId="0" xfId="8" applyFont="1" applyFill="1" applyAlignment="1">
      <alignment horizontal="left" indent="4"/>
    </xf>
    <xf numFmtId="42" fontId="15" fillId="6" borderId="0" xfId="2" applyNumberFormat="1" applyFont="1" applyFill="1" applyBorder="1" applyAlignment="1">
      <alignment horizontal="left"/>
    </xf>
    <xf numFmtId="165" fontId="7" fillId="14" borderId="37" xfId="0" applyNumberFormat="1" applyFont="1" applyFill="1" applyBorder="1" applyAlignment="1">
      <alignment horizontal="left"/>
    </xf>
    <xf numFmtId="166" fontId="15" fillId="6" borderId="6" xfId="8" applyFont="1" applyFill="1" applyBorder="1" applyAlignment="1" applyProtection="1">
      <alignment horizontal="left" indent="4"/>
      <protection locked="0"/>
    </xf>
    <xf numFmtId="166" fontId="15" fillId="6" borderId="5" xfId="8" applyFont="1" applyFill="1" applyBorder="1" applyAlignment="1" applyProtection="1">
      <alignment horizontal="left" indent="4"/>
      <protection locked="0"/>
    </xf>
    <xf numFmtId="166" fontId="15" fillId="6" borderId="1" xfId="8" applyFont="1" applyFill="1" applyBorder="1" applyAlignment="1">
      <alignment horizontal="left" indent="4"/>
    </xf>
    <xf numFmtId="42" fontId="15" fillId="6" borderId="1" xfId="2" applyNumberFormat="1" applyFont="1" applyFill="1" applyBorder="1" applyAlignment="1">
      <alignment horizontal="left"/>
    </xf>
    <xf numFmtId="165" fontId="7" fillId="14" borderId="38" xfId="0" applyNumberFormat="1" applyFont="1" applyFill="1" applyBorder="1" applyAlignment="1">
      <alignment horizontal="left"/>
    </xf>
    <xf numFmtId="166" fontId="25" fillId="6" borderId="6" xfId="8" applyFont="1" applyFill="1" applyBorder="1" applyAlignment="1">
      <alignment horizontal="left" indent="2"/>
    </xf>
    <xf numFmtId="166" fontId="25" fillId="6" borderId="0" xfId="8" applyFont="1" applyFill="1" applyAlignment="1">
      <alignment horizontal="left" indent="2"/>
    </xf>
    <xf numFmtId="42" fontId="25" fillId="6" borderId="0" xfId="2" applyNumberFormat="1" applyFont="1" applyFill="1" applyBorder="1" applyAlignment="1">
      <alignment horizontal="left"/>
    </xf>
    <xf numFmtId="165" fontId="21" fillId="14" borderId="37" xfId="0" applyNumberFormat="1" applyFont="1" applyFill="1" applyBorder="1" applyAlignment="1">
      <alignment horizontal="left"/>
    </xf>
    <xf numFmtId="165" fontId="21" fillId="14" borderId="38" xfId="0" applyNumberFormat="1" applyFont="1" applyFill="1" applyBorder="1" applyAlignment="1">
      <alignment horizontal="left"/>
    </xf>
    <xf numFmtId="42" fontId="15" fillId="6" borderId="2" xfId="2" applyNumberFormat="1" applyFont="1" applyFill="1" applyBorder="1" applyAlignment="1">
      <alignment horizontal="left"/>
    </xf>
    <xf numFmtId="165" fontId="7" fillId="14" borderId="35" xfId="0" applyNumberFormat="1" applyFont="1" applyFill="1" applyBorder="1" applyAlignment="1">
      <alignment horizontal="left"/>
    </xf>
    <xf numFmtId="166" fontId="25" fillId="6" borderId="39" xfId="8" applyFont="1" applyFill="1" applyBorder="1" applyAlignment="1">
      <alignment horizontal="left" indent="1"/>
    </xf>
    <xf numFmtId="166" fontId="25" fillId="6" borderId="40" xfId="8" applyFont="1" applyFill="1" applyBorder="1" applyAlignment="1">
      <alignment horizontal="left" indent="1"/>
    </xf>
    <xf numFmtId="42" fontId="21" fillId="6" borderId="40" xfId="2" applyNumberFormat="1" applyFont="1" applyFill="1" applyBorder="1" applyAlignment="1">
      <alignment horizontal="left"/>
    </xf>
    <xf numFmtId="165" fontId="21" fillId="14" borderId="41" xfId="0" applyNumberFormat="1" applyFont="1" applyFill="1" applyBorder="1" applyAlignment="1">
      <alignment horizontal="left"/>
    </xf>
    <xf numFmtId="166" fontId="7" fillId="6" borderId="5" xfId="8" applyFont="1" applyFill="1" applyBorder="1"/>
    <xf numFmtId="166" fontId="7" fillId="6" borderId="1" xfId="8" applyFont="1" applyFill="1" applyBorder="1"/>
    <xf numFmtId="166" fontId="7" fillId="6" borderId="1" xfId="8" applyFont="1" applyFill="1" applyBorder="1" applyAlignment="1">
      <alignment horizontal="left"/>
    </xf>
    <xf numFmtId="168" fontId="7" fillId="6" borderId="1" xfId="8" applyNumberFormat="1" applyFont="1" applyFill="1" applyBorder="1" applyAlignment="1">
      <alignment horizontal="left"/>
    </xf>
    <xf numFmtId="0" fontId="7" fillId="6" borderId="42" xfId="0" applyFont="1" applyFill="1" applyBorder="1" applyAlignment="1">
      <alignment horizontal="left"/>
    </xf>
    <xf numFmtId="44" fontId="10" fillId="12" borderId="0" xfId="7" applyNumberFormat="1" applyFont="1" applyFill="1" applyAlignment="1">
      <alignment horizontal="left"/>
    </xf>
    <xf numFmtId="44" fontId="10" fillId="12" borderId="37" xfId="7" applyNumberFormat="1" applyFont="1" applyFill="1" applyBorder="1" applyAlignment="1">
      <alignment horizontal="left"/>
    </xf>
    <xf numFmtId="165" fontId="15" fillId="6" borderId="25" xfId="2" applyNumberFormat="1" applyFont="1" applyFill="1" applyBorder="1" applyAlignment="1">
      <alignment horizontal="left"/>
    </xf>
    <xf numFmtId="166" fontId="22" fillId="6" borderId="22" xfId="8" applyFont="1" applyFill="1" applyBorder="1" applyAlignment="1">
      <alignment horizontal="left" indent="2"/>
    </xf>
    <xf numFmtId="166" fontId="22" fillId="6" borderId="22" xfId="8" applyFont="1" applyFill="1" applyBorder="1" applyAlignment="1" applyProtection="1">
      <alignment horizontal="left" indent="2"/>
      <protection locked="0"/>
    </xf>
    <xf numFmtId="165" fontId="21" fillId="6" borderId="40" xfId="2" applyNumberFormat="1" applyFont="1" applyFill="1" applyBorder="1" applyAlignment="1">
      <alignment horizontal="left"/>
    </xf>
    <xf numFmtId="165" fontId="21" fillId="6" borderId="40" xfId="2" applyNumberFormat="1" applyFont="1" applyFill="1" applyBorder="1" applyAlignment="1">
      <alignment horizontal="left" indent="1"/>
    </xf>
    <xf numFmtId="166" fontId="7" fillId="6" borderId="6" xfId="8" applyFont="1" applyFill="1" applyBorder="1"/>
    <xf numFmtId="166" fontId="7" fillId="6" borderId="0" xfId="8" applyFont="1" applyFill="1"/>
    <xf numFmtId="165" fontId="7" fillId="6" borderId="0" xfId="2" applyNumberFormat="1" applyFont="1" applyFill="1" applyBorder="1" applyAlignment="1">
      <alignment horizontal="left"/>
    </xf>
    <xf numFmtId="0" fontId="7" fillId="6" borderId="37" xfId="0" applyFont="1" applyFill="1" applyBorder="1" applyAlignment="1">
      <alignment horizontal="left"/>
    </xf>
    <xf numFmtId="166" fontId="10" fillId="8" borderId="29" xfId="8" applyFont="1" applyFill="1" applyBorder="1" applyAlignment="1">
      <alignment vertical="center"/>
    </xf>
    <xf numFmtId="166" fontId="10" fillId="8" borderId="7" xfId="8" applyFont="1" applyFill="1" applyBorder="1" applyAlignment="1">
      <alignment vertical="center"/>
    </xf>
    <xf numFmtId="165" fontId="31" fillId="15" borderId="7" xfId="2" applyNumberFormat="1" applyFont="1" applyFill="1" applyBorder="1" applyAlignment="1">
      <alignment horizontal="left" vertical="center"/>
    </xf>
    <xf numFmtId="165" fontId="32" fillId="15" borderId="43" xfId="0" applyNumberFormat="1" applyFont="1" applyFill="1" applyBorder="1" applyAlignment="1">
      <alignment horizontal="left"/>
    </xf>
    <xf numFmtId="166" fontId="10" fillId="8" borderId="44" xfId="8" applyFont="1" applyFill="1" applyBorder="1" applyAlignment="1">
      <alignment vertical="center"/>
    </xf>
    <xf numFmtId="166" fontId="10" fillId="8" borderId="25" xfId="8" applyFont="1" applyFill="1" applyBorder="1" applyAlignment="1">
      <alignment vertical="center"/>
    </xf>
    <xf numFmtId="8" fontId="31" fillId="15" borderId="25" xfId="2" applyNumberFormat="1" applyFont="1" applyFill="1" applyBorder="1" applyAlignment="1">
      <alignment horizontal="center" vertical="center"/>
    </xf>
    <xf numFmtId="8" fontId="31" fillId="15" borderId="45" xfId="2" applyNumberFormat="1" applyFont="1" applyFill="1" applyBorder="1" applyAlignment="1">
      <alignment horizontal="center" vertical="center"/>
    </xf>
    <xf numFmtId="0" fontId="30" fillId="14" borderId="34" xfId="0" applyFont="1" applyFill="1" applyBorder="1" applyAlignment="1">
      <alignment horizontal="center" vertical="center" wrapText="1"/>
    </xf>
    <xf numFmtId="166" fontId="15" fillId="6" borderId="28" xfId="0" applyNumberFormat="1" applyFont="1" applyFill="1" applyBorder="1" applyAlignment="1">
      <alignment horizontal="left" vertical="center" indent="2"/>
    </xf>
    <xf numFmtId="166" fontId="15" fillId="6" borderId="2" xfId="0" applyNumberFormat="1" applyFont="1" applyFill="1" applyBorder="1" applyAlignment="1">
      <alignment horizontal="left" vertical="center" indent="2"/>
    </xf>
    <xf numFmtId="42" fontId="15" fillId="6" borderId="27" xfId="2" applyNumberFormat="1" applyFont="1" applyFill="1" applyBorder="1" applyAlignment="1">
      <alignment horizontal="left"/>
    </xf>
    <xf numFmtId="9" fontId="7" fillId="14" borderId="35" xfId="0" applyNumberFormat="1" applyFont="1" applyFill="1" applyBorder="1"/>
    <xf numFmtId="166" fontId="15" fillId="6" borderId="22" xfId="0" applyNumberFormat="1" applyFont="1" applyFill="1" applyBorder="1" applyAlignment="1">
      <alignment horizontal="left" vertical="center" indent="2"/>
    </xf>
    <xf numFmtId="166" fontId="15" fillId="6" borderId="25" xfId="0" applyNumberFormat="1" applyFont="1" applyFill="1" applyBorder="1" applyAlignment="1">
      <alignment horizontal="left" vertical="center" indent="2"/>
    </xf>
    <xf numFmtId="42" fontId="15" fillId="6" borderId="25" xfId="2" applyNumberFormat="1" applyFont="1" applyFill="1" applyBorder="1" applyAlignment="1">
      <alignment horizontal="left"/>
    </xf>
    <xf numFmtId="42" fontId="15" fillId="6" borderId="31" xfId="2" applyNumberFormat="1" applyFont="1" applyFill="1" applyBorder="1" applyAlignment="1">
      <alignment horizontal="left"/>
    </xf>
    <xf numFmtId="165" fontId="31" fillId="6" borderId="7" xfId="2" applyNumberFormat="1" applyFont="1" applyFill="1" applyBorder="1" applyAlignment="1">
      <alignment horizontal="left" vertical="center"/>
    </xf>
    <xf numFmtId="165" fontId="31" fillId="6" borderId="46" xfId="2" applyNumberFormat="1" applyFont="1" applyFill="1" applyBorder="1" applyAlignment="1">
      <alignment horizontal="left" vertical="center"/>
    </xf>
    <xf numFmtId="165" fontId="21" fillId="15" borderId="41" xfId="0" applyNumberFormat="1" applyFont="1" applyFill="1" applyBorder="1" applyAlignment="1">
      <alignment horizontal="left"/>
    </xf>
    <xf numFmtId="9" fontId="21" fillId="14" borderId="41" xfId="0" applyNumberFormat="1" applyFont="1" applyFill="1" applyBorder="1"/>
    <xf numFmtId="3" fontId="12" fillId="6" borderId="0" xfId="0" applyNumberFormat="1" applyFont="1" applyFill="1" applyProtection="1">
      <protection locked="0"/>
    </xf>
    <xf numFmtId="166" fontId="7" fillId="6" borderId="14" xfId="4" applyFont="1" applyFill="1" applyBorder="1" applyProtection="1">
      <protection locked="0"/>
    </xf>
    <xf numFmtId="0" fontId="7" fillId="6" borderId="33" xfId="0" applyFont="1" applyFill="1" applyBorder="1" applyAlignment="1">
      <alignment horizontal="center"/>
    </xf>
    <xf numFmtId="0" fontId="7" fillId="6" borderId="33" xfId="0" applyFont="1" applyFill="1" applyBorder="1"/>
    <xf numFmtId="0" fontId="7" fillId="6" borderId="33" xfId="0" applyFont="1" applyFill="1" applyBorder="1" applyAlignment="1">
      <alignment horizontal="left"/>
    </xf>
    <xf numFmtId="0" fontId="7" fillId="6" borderId="33" xfId="0" applyFont="1" applyFill="1" applyBorder="1" applyAlignment="1" applyProtection="1">
      <alignment horizontal="center"/>
      <protection locked="0"/>
    </xf>
    <xf numFmtId="0" fontId="7" fillId="6" borderId="33" xfId="0" applyFont="1" applyFill="1" applyBorder="1" applyProtection="1">
      <protection locked="0"/>
    </xf>
    <xf numFmtId="0" fontId="7" fillId="6" borderId="16" xfId="0" applyFont="1" applyFill="1" applyBorder="1" applyProtection="1">
      <protection locked="0"/>
    </xf>
    <xf numFmtId="0" fontId="7" fillId="6" borderId="14" xfId="0" applyFont="1" applyFill="1" applyBorder="1"/>
    <xf numFmtId="0" fontId="8" fillId="0" borderId="0" xfId="0" applyFont="1" applyAlignment="1">
      <alignment horizontal="left"/>
    </xf>
    <xf numFmtId="165" fontId="7" fillId="14" borderId="36" xfId="0" applyNumberFormat="1" applyFont="1" applyFill="1" applyBorder="1" applyAlignment="1">
      <alignment horizontal="left"/>
    </xf>
    <xf numFmtId="166" fontId="15" fillId="6" borderId="5" xfId="8" applyFont="1" applyFill="1" applyBorder="1" applyAlignment="1">
      <alignment horizontal="left" indent="4"/>
    </xf>
    <xf numFmtId="166" fontId="25" fillId="6" borderId="22" xfId="8" applyFont="1" applyFill="1" applyBorder="1" applyAlignment="1">
      <alignment horizontal="left" indent="1"/>
    </xf>
    <xf numFmtId="8" fontId="31" fillId="15" borderId="25" xfId="2" applyNumberFormat="1" applyFont="1" applyFill="1" applyBorder="1" applyAlignment="1">
      <alignment horizontal="left" vertical="center"/>
    </xf>
    <xf numFmtId="0" fontId="1" fillId="0" borderId="0" xfId="0" applyFont="1"/>
    <xf numFmtId="0" fontId="0" fillId="0" borderId="0" xfId="0" applyAlignment="1">
      <alignment wrapText="1"/>
    </xf>
    <xf numFmtId="0" fontId="1" fillId="0" borderId="0" xfId="0" applyFont="1" applyAlignment="1">
      <alignment wrapText="1"/>
    </xf>
    <xf numFmtId="0" fontId="0" fillId="0" borderId="0" xfId="0" applyAlignment="1">
      <alignment horizontal="left" indent="1"/>
    </xf>
    <xf numFmtId="0" fontId="1" fillId="16" borderId="0" xfId="0" applyFont="1" applyFill="1"/>
    <xf numFmtId="0" fontId="1" fillId="16" borderId="0" xfId="0" applyFont="1" applyFill="1" applyAlignment="1">
      <alignment wrapText="1"/>
    </xf>
    <xf numFmtId="0" fontId="0" fillId="0" borderId="1" xfId="0" applyBorder="1"/>
    <xf numFmtId="0" fontId="0" fillId="0" borderId="1" xfId="0" applyBorder="1" applyAlignment="1">
      <alignment wrapText="1"/>
    </xf>
    <xf numFmtId="0" fontId="0" fillId="0" borderId="2" xfId="0" applyBorder="1"/>
    <xf numFmtId="0" fontId="0" fillId="0" borderId="2" xfId="0" applyBorder="1" applyAlignment="1">
      <alignment wrapText="1"/>
    </xf>
    <xf numFmtId="0" fontId="0" fillId="0" borderId="25" xfId="0" applyBorder="1" applyAlignment="1">
      <alignment horizontal="left"/>
    </xf>
    <xf numFmtId="0" fontId="0" fillId="0" borderId="25" xfId="0" applyBorder="1" applyAlignment="1">
      <alignment wrapText="1"/>
    </xf>
    <xf numFmtId="0" fontId="1" fillId="0" borderId="1" xfId="0" applyFont="1" applyBorder="1" applyAlignment="1">
      <alignment wrapText="1"/>
    </xf>
    <xf numFmtId="0" fontId="1" fillId="0" borderId="25" xfId="0" applyFont="1" applyBorder="1" applyAlignment="1">
      <alignment wrapText="1"/>
    </xf>
    <xf numFmtId="0" fontId="35" fillId="0" borderId="25" xfId="0" applyFont="1" applyBorder="1"/>
    <xf numFmtId="0" fontId="34" fillId="2" borderId="0" xfId="0" applyFont="1" applyFill="1"/>
    <xf numFmtId="0" fontId="1" fillId="18" borderId="0" xfId="0" applyFont="1" applyFill="1"/>
    <xf numFmtId="0" fontId="1" fillId="20" borderId="0" xfId="0" applyFont="1" applyFill="1"/>
    <xf numFmtId="0" fontId="1" fillId="19" borderId="0" xfId="0" applyFont="1" applyFill="1"/>
    <xf numFmtId="0" fontId="1" fillId="0" borderId="0" xfId="0" applyFont="1" applyAlignment="1">
      <alignment horizontal="left"/>
    </xf>
    <xf numFmtId="0" fontId="1" fillId="19" borderId="0" xfId="0" applyFont="1" applyFill="1" applyAlignment="1">
      <alignment horizontal="left"/>
    </xf>
    <xf numFmtId="0" fontId="1" fillId="20" borderId="0" xfId="0" applyFont="1" applyFill="1" applyAlignment="1">
      <alignment horizontal="left"/>
    </xf>
    <xf numFmtId="0" fontId="0" fillId="21" borderId="0" xfId="0" applyFill="1" applyAlignment="1">
      <alignment horizontal="left" indent="1"/>
    </xf>
    <xf numFmtId="0" fontId="0" fillId="16" borderId="0" xfId="0" applyFill="1" applyAlignment="1">
      <alignment horizontal="left" indent="1"/>
    </xf>
    <xf numFmtId="0" fontId="0" fillId="16" borderId="0" xfId="0" applyFill="1" applyAlignment="1">
      <alignment horizontal="left" indent="2"/>
    </xf>
    <xf numFmtId="0" fontId="0" fillId="5" borderId="0" xfId="0" applyFill="1" applyAlignment="1">
      <alignment horizontal="left" indent="1"/>
    </xf>
    <xf numFmtId="0" fontId="0" fillId="21" borderId="0" xfId="0" applyFill="1" applyAlignment="1">
      <alignment horizontal="left" indent="2"/>
    </xf>
    <xf numFmtId="0" fontId="0" fillId="22" borderId="0" xfId="0" applyFill="1" applyAlignment="1">
      <alignment horizontal="left" indent="1"/>
    </xf>
    <xf numFmtId="0" fontId="0" fillId="23" borderId="0" xfId="0" applyFill="1"/>
    <xf numFmtId="0" fontId="0" fillId="24" borderId="0" xfId="0" applyFill="1" applyAlignment="1">
      <alignment horizontal="left" indent="1"/>
    </xf>
    <xf numFmtId="0" fontId="0" fillId="25" borderId="0" xfId="0" applyFill="1" applyAlignment="1">
      <alignment horizontal="left" indent="2"/>
    </xf>
    <xf numFmtId="0" fontId="0" fillId="25" borderId="0" xfId="0" applyFill="1" applyAlignment="1">
      <alignment horizontal="left" indent="1"/>
    </xf>
    <xf numFmtId="0" fontId="1" fillId="26" borderId="0" xfId="0" applyFont="1" applyFill="1"/>
    <xf numFmtId="0" fontId="0" fillId="26" borderId="0" xfId="0" applyFill="1"/>
    <xf numFmtId="0" fontId="36" fillId="28" borderId="3" xfId="0" applyFont="1" applyFill="1" applyBorder="1" applyAlignment="1">
      <alignment horizontal="center" vertical="center"/>
    </xf>
    <xf numFmtId="0" fontId="36" fillId="28" borderId="12" xfId="0" applyFont="1" applyFill="1" applyBorder="1" applyAlignment="1">
      <alignment horizontal="center" vertical="center"/>
    </xf>
    <xf numFmtId="0" fontId="0" fillId="0" borderId="0" xfId="0" applyAlignment="1">
      <alignment vertical="center"/>
    </xf>
    <xf numFmtId="0" fontId="37" fillId="29" borderId="15" xfId="0" applyFont="1" applyFill="1" applyBorder="1" applyAlignment="1">
      <alignment horizontal="center" vertical="center"/>
    </xf>
    <xf numFmtId="0" fontId="38" fillId="28" borderId="47" xfId="0" applyFont="1" applyFill="1" applyBorder="1" applyAlignment="1">
      <alignment wrapText="1"/>
    </xf>
    <xf numFmtId="165" fontId="0" fillId="5" borderId="48" xfId="0" applyNumberFormat="1" applyFill="1" applyBorder="1"/>
    <xf numFmtId="165" fontId="0" fillId="30" borderId="48" xfId="0" applyNumberFormat="1" applyFill="1" applyBorder="1"/>
    <xf numFmtId="165" fontId="0" fillId="17" borderId="48" xfId="0" applyNumberFormat="1" applyFill="1" applyBorder="1"/>
    <xf numFmtId="165" fontId="0" fillId="17" borderId="48" xfId="0" applyNumberFormat="1" applyFill="1" applyBorder="1" applyAlignment="1">
      <alignment horizontal="right"/>
    </xf>
    <xf numFmtId="10" fontId="0" fillId="5" borderId="48" xfId="0" applyNumberFormat="1" applyFill="1" applyBorder="1"/>
    <xf numFmtId="10" fontId="0" fillId="30" borderId="48" xfId="0" applyNumberFormat="1" applyFill="1" applyBorder="1"/>
    <xf numFmtId="10" fontId="0" fillId="17" borderId="48" xfId="0" applyNumberFormat="1" applyFill="1" applyBorder="1"/>
    <xf numFmtId="165" fontId="0" fillId="17" borderId="47" xfId="0" applyNumberFormat="1" applyFill="1" applyBorder="1" applyAlignment="1">
      <alignment horizontal="right"/>
    </xf>
    <xf numFmtId="165" fontId="0" fillId="5" borderId="47" xfId="0" applyNumberFormat="1" applyFill="1" applyBorder="1"/>
    <xf numFmtId="165" fontId="0" fillId="30" borderId="47" xfId="0" applyNumberFormat="1" applyFill="1" applyBorder="1"/>
    <xf numFmtId="165" fontId="0" fillId="17" borderId="47" xfId="0" applyNumberFormat="1" applyFill="1" applyBorder="1"/>
    <xf numFmtId="10" fontId="0" fillId="5" borderId="47" xfId="0" applyNumberFormat="1" applyFill="1" applyBorder="1"/>
    <xf numFmtId="10" fontId="0" fillId="30" borderId="47" xfId="0" applyNumberFormat="1" applyFill="1" applyBorder="1"/>
    <xf numFmtId="10" fontId="0" fillId="17" borderId="47" xfId="0" applyNumberFormat="1" applyFill="1" applyBorder="1"/>
    <xf numFmtId="165" fontId="1" fillId="5" borderId="47" xfId="0" applyNumberFormat="1" applyFont="1" applyFill="1" applyBorder="1"/>
    <xf numFmtId="165" fontId="1" fillId="30" borderId="47" xfId="0" applyNumberFormat="1" applyFont="1" applyFill="1" applyBorder="1"/>
    <xf numFmtId="165" fontId="1" fillId="17" borderId="47" xfId="0" applyNumberFormat="1" applyFont="1" applyFill="1" applyBorder="1"/>
    <xf numFmtId="0" fontId="39" fillId="0" borderId="0" xfId="0" applyFont="1"/>
    <xf numFmtId="0" fontId="44" fillId="0" borderId="0" xfId="0" applyFont="1"/>
    <xf numFmtId="0" fontId="1" fillId="0" borderId="0" xfId="0" applyFont="1" applyAlignment="1">
      <alignment vertical="top"/>
    </xf>
    <xf numFmtId="165" fontId="0" fillId="0" borderId="0" xfId="0" applyNumberFormat="1" applyAlignment="1">
      <alignment vertical="top" wrapText="1"/>
    </xf>
    <xf numFmtId="0" fontId="0" fillId="0" borderId="0" xfId="0" applyAlignment="1">
      <alignment horizontal="center" vertical="center"/>
    </xf>
    <xf numFmtId="0" fontId="34" fillId="31" borderId="0" xfId="0" applyFont="1" applyFill="1" applyAlignment="1">
      <alignment horizontal="center" vertical="center"/>
    </xf>
    <xf numFmtId="0" fontId="34" fillId="29" borderId="0" xfId="0" applyFont="1" applyFill="1" applyAlignment="1">
      <alignment horizontal="center" vertical="center"/>
    </xf>
    <xf numFmtId="165" fontId="34" fillId="29" borderId="0" xfId="2" applyNumberFormat="1" applyFont="1" applyFill="1" applyBorder="1" applyAlignment="1">
      <alignment horizontal="center" wrapText="1"/>
    </xf>
    <xf numFmtId="0" fontId="34" fillId="29" borderId="0" xfId="0" applyFont="1" applyFill="1" applyAlignment="1">
      <alignment horizontal="center" vertical="center" wrapText="1"/>
    </xf>
    <xf numFmtId="165" fontId="34" fillId="29" borderId="0" xfId="2" applyNumberFormat="1" applyFont="1" applyFill="1" applyBorder="1" applyAlignment="1">
      <alignment horizontal="center" vertical="center" wrapText="1"/>
    </xf>
    <xf numFmtId="0" fontId="34" fillId="32" borderId="0" xfId="0" applyFont="1" applyFill="1" applyAlignment="1">
      <alignment horizontal="center" vertical="center" wrapText="1"/>
    </xf>
    <xf numFmtId="0" fontId="0" fillId="33" borderId="0" xfId="0" applyFill="1"/>
    <xf numFmtId="0" fontId="1" fillId="33" borderId="0" xfId="0" applyFont="1" applyFill="1" applyAlignment="1">
      <alignment vertical="top" wrapText="1"/>
    </xf>
    <xf numFmtId="0" fontId="0" fillId="33" borderId="0" xfId="0" applyFill="1" applyAlignment="1">
      <alignment wrapText="1"/>
    </xf>
    <xf numFmtId="164" fontId="0" fillId="33" borderId="0" xfId="1" applyNumberFormat="1" applyFont="1" applyFill="1" applyAlignment="1">
      <alignment vertical="top" wrapText="1"/>
    </xf>
    <xf numFmtId="0" fontId="0" fillId="33" borderId="0" xfId="0" applyFill="1" applyAlignment="1">
      <alignment horizontal="center" vertical="center" wrapText="1"/>
    </xf>
    <xf numFmtId="0" fontId="0" fillId="0" borderId="0" xfId="0" applyAlignment="1">
      <alignment horizontal="left" wrapText="1"/>
    </xf>
    <xf numFmtId="0" fontId="1" fillId="34" borderId="0" xfId="0" applyFont="1" applyFill="1"/>
    <xf numFmtId="0" fontId="1" fillId="34" borderId="0" xfId="0" applyFont="1" applyFill="1" applyAlignment="1">
      <alignment vertical="top" wrapText="1"/>
    </xf>
    <xf numFmtId="0" fontId="0" fillId="34" borderId="0" xfId="0" applyFill="1" applyAlignment="1">
      <alignment wrapText="1"/>
    </xf>
    <xf numFmtId="164" fontId="0" fillId="34" borderId="0" xfId="1" applyNumberFormat="1" applyFont="1" applyFill="1" applyAlignment="1">
      <alignment vertical="top" wrapText="1"/>
    </xf>
    <xf numFmtId="164" fontId="0" fillId="34" borderId="0" xfId="1" applyNumberFormat="1" applyFont="1" applyFill="1" applyAlignment="1">
      <alignment horizontal="center" vertical="center" wrapText="1"/>
    </xf>
    <xf numFmtId="0" fontId="1" fillId="0" borderId="47" xfId="0" applyFont="1" applyBorder="1" applyAlignment="1">
      <alignment vertical="top" wrapText="1"/>
    </xf>
    <xf numFmtId="0" fontId="0" fillId="0" borderId="47" xfId="0" applyBorder="1" applyAlignment="1">
      <alignment wrapText="1"/>
    </xf>
    <xf numFmtId="164" fontId="0" fillId="0" borderId="47" xfId="1" applyNumberFormat="1" applyFont="1" applyBorder="1" applyAlignment="1">
      <alignment vertical="top" wrapText="1"/>
    </xf>
    <xf numFmtId="0" fontId="0" fillId="35" borderId="0" xfId="0" applyFill="1" applyAlignment="1">
      <alignment horizontal="center" vertical="center" wrapText="1"/>
    </xf>
    <xf numFmtId="0" fontId="0" fillId="34" borderId="0" xfId="0" applyFill="1" applyAlignment="1">
      <alignment horizontal="center" wrapText="1"/>
    </xf>
    <xf numFmtId="0" fontId="0" fillId="34" borderId="0" xfId="0" applyFill="1"/>
    <xf numFmtId="169" fontId="0" fillId="36" borderId="0" xfId="0" applyNumberFormat="1" applyFill="1"/>
    <xf numFmtId="169" fontId="1" fillId="36" borderId="0" xfId="0" applyNumberFormat="1" applyFont="1" applyFill="1" applyAlignment="1">
      <alignment horizontal="right" wrapText="1"/>
    </xf>
    <xf numFmtId="164" fontId="1" fillId="36" borderId="0" xfId="1" applyNumberFormat="1" applyFont="1" applyFill="1"/>
    <xf numFmtId="0" fontId="0" fillId="35" borderId="0" xfId="0" applyFill="1" applyAlignment="1">
      <alignment horizontal="center" vertical="center"/>
    </xf>
    <xf numFmtId="164" fontId="0" fillId="34" borderId="0" xfId="1" applyNumberFormat="1" applyFont="1" applyFill="1"/>
    <xf numFmtId="165" fontId="0" fillId="23" borderId="47" xfId="1" applyNumberFormat="1" applyFont="1" applyFill="1" applyBorder="1" applyAlignment="1">
      <alignment vertical="top" wrapText="1"/>
    </xf>
    <xf numFmtId="165" fontId="0" fillId="0" borderId="50" xfId="1" applyNumberFormat="1" applyFont="1" applyBorder="1" applyAlignment="1">
      <alignment vertical="top" wrapText="1"/>
    </xf>
    <xf numFmtId="165" fontId="0" fillId="0" borderId="47" xfId="0" applyNumberFormat="1" applyBorder="1" applyAlignment="1">
      <alignment vertical="top" wrapText="1"/>
    </xf>
    <xf numFmtId="165" fontId="0" fillId="0" borderId="47" xfId="1" applyNumberFormat="1" applyFont="1" applyBorder="1" applyAlignment="1">
      <alignment vertical="top" wrapText="1"/>
    </xf>
    <xf numFmtId="165" fontId="0" fillId="0" borderId="48" xfId="1" applyNumberFormat="1" applyFont="1" applyBorder="1" applyAlignment="1">
      <alignment vertical="top" wrapText="1"/>
    </xf>
    <xf numFmtId="165" fontId="1" fillId="36" borderId="2" xfId="1" applyNumberFormat="1" applyFont="1" applyFill="1" applyBorder="1" applyAlignment="1">
      <alignment vertical="top" wrapText="1"/>
    </xf>
    <xf numFmtId="165" fontId="1" fillId="36" borderId="0" xfId="1" applyNumberFormat="1" applyFont="1" applyFill="1" applyBorder="1" applyAlignment="1">
      <alignment vertical="top" wrapText="1"/>
    </xf>
    <xf numFmtId="165" fontId="1" fillId="36" borderId="47" xfId="1" applyNumberFormat="1" applyFont="1" applyFill="1" applyBorder="1" applyAlignment="1">
      <alignment vertical="top" wrapText="1"/>
    </xf>
    <xf numFmtId="0" fontId="0" fillId="34" borderId="0" xfId="0" applyFill="1" applyAlignment="1">
      <alignment vertical="top" wrapText="1"/>
    </xf>
    <xf numFmtId="164" fontId="0" fillId="0" borderId="51" xfId="1" applyNumberFormat="1" applyFont="1" applyBorder="1" applyAlignment="1">
      <alignment vertical="top" wrapText="1"/>
    </xf>
    <xf numFmtId="164" fontId="0" fillId="0" borderId="52" xfId="1" applyNumberFormat="1" applyFont="1" applyBorder="1" applyAlignment="1">
      <alignment vertical="top" wrapText="1"/>
    </xf>
    <xf numFmtId="165" fontId="0" fillId="23" borderId="2" xfId="1" applyNumberFormat="1" applyFont="1" applyFill="1" applyBorder="1" applyAlignment="1">
      <alignment vertical="top" wrapText="1"/>
    </xf>
    <xf numFmtId="165" fontId="1" fillId="36" borderId="0" xfId="0" applyNumberFormat="1" applyFont="1" applyFill="1" applyAlignment="1">
      <alignment vertical="top" wrapText="1"/>
    </xf>
    <xf numFmtId="165" fontId="0" fillId="36" borderId="0" xfId="0" applyNumberFormat="1" applyFill="1" applyAlignment="1">
      <alignment vertical="top" wrapText="1"/>
    </xf>
    <xf numFmtId="165" fontId="1" fillId="36" borderId="50" xfId="1" applyNumberFormat="1" applyFont="1" applyFill="1" applyBorder="1" applyAlignment="1">
      <alignment vertical="top" wrapText="1"/>
    </xf>
    <xf numFmtId="0" fontId="1" fillId="36" borderId="49" xfId="0" applyFont="1" applyFill="1" applyBorder="1" applyAlignment="1">
      <alignment horizontal="right" wrapText="1"/>
    </xf>
    <xf numFmtId="165" fontId="1" fillId="36" borderId="30" xfId="0" applyNumberFormat="1" applyFont="1" applyFill="1" applyBorder="1" applyAlignment="1">
      <alignment vertical="top" wrapText="1"/>
    </xf>
    <xf numFmtId="0" fontId="1" fillId="34" borderId="0" xfId="0" applyFont="1" applyFill="1" applyAlignment="1">
      <alignment wrapText="1"/>
    </xf>
    <xf numFmtId="165" fontId="0" fillId="23" borderId="47" xfId="0" applyNumberFormat="1" applyFill="1" applyBorder="1" applyAlignment="1">
      <alignment vertical="top" wrapText="1"/>
    </xf>
    <xf numFmtId="164" fontId="0" fillId="23" borderId="47" xfId="1" applyNumberFormat="1" applyFont="1" applyFill="1" applyBorder="1" applyAlignment="1">
      <alignment vertical="top" wrapText="1"/>
    </xf>
    <xf numFmtId="165" fontId="0" fillId="23" borderId="50" xfId="1" applyNumberFormat="1" applyFont="1" applyFill="1" applyBorder="1" applyAlignment="1">
      <alignment vertical="top" wrapText="1"/>
    </xf>
    <xf numFmtId="165" fontId="0" fillId="23" borderId="50" xfId="0" applyNumberFormat="1" applyFill="1" applyBorder="1" applyAlignment="1">
      <alignment vertical="top" wrapText="1"/>
    </xf>
    <xf numFmtId="164" fontId="0" fillId="0" borderId="48" xfId="1" applyNumberFormat="1" applyFont="1" applyBorder="1" applyAlignment="1">
      <alignment vertical="top" wrapText="1"/>
    </xf>
    <xf numFmtId="164" fontId="0" fillId="23" borderId="48" xfId="1" applyNumberFormat="1" applyFont="1" applyFill="1" applyBorder="1" applyAlignment="1">
      <alignment vertical="top" wrapText="1"/>
    </xf>
    <xf numFmtId="164" fontId="0" fillId="0" borderId="47" xfId="1" applyNumberFormat="1" applyFont="1" applyBorder="1" applyAlignment="1">
      <alignment wrapText="1"/>
    </xf>
    <xf numFmtId="164" fontId="0" fillId="23" borderId="47" xfId="1" applyNumberFormat="1" applyFont="1" applyFill="1" applyBorder="1" applyAlignment="1">
      <alignment wrapText="1"/>
    </xf>
    <xf numFmtId="0" fontId="1" fillId="0" borderId="47" xfId="0" applyFont="1" applyBorder="1" applyAlignment="1">
      <alignment vertical="top"/>
    </xf>
    <xf numFmtId="0" fontId="1" fillId="0" borderId="47" xfId="0" applyFont="1" applyBorder="1" applyAlignment="1">
      <alignment horizontal="left" vertical="top" wrapText="1"/>
    </xf>
    <xf numFmtId="0" fontId="0" fillId="0" borderId="51" xfId="0" applyBorder="1" applyAlignment="1">
      <alignment wrapText="1"/>
    </xf>
    <xf numFmtId="164" fontId="0" fillId="23" borderId="51" xfId="1" applyNumberFormat="1" applyFont="1" applyFill="1" applyBorder="1" applyAlignment="1">
      <alignment vertical="top" wrapText="1"/>
    </xf>
    <xf numFmtId="0" fontId="1" fillId="36" borderId="0" xfId="0" applyFont="1" applyFill="1"/>
    <xf numFmtId="169" fontId="1" fillId="36" borderId="49" xfId="0" applyNumberFormat="1" applyFont="1" applyFill="1" applyBorder="1" applyAlignment="1">
      <alignment horizontal="right" wrapText="1"/>
    </xf>
    <xf numFmtId="165" fontId="1" fillId="36" borderId="32" xfId="0" applyNumberFormat="1" applyFont="1" applyFill="1" applyBorder="1" applyAlignment="1">
      <alignment vertical="top" wrapText="1"/>
    </xf>
    <xf numFmtId="0" fontId="1" fillId="36" borderId="0" xfId="0" applyFont="1" applyFill="1" applyAlignment="1">
      <alignment horizontal="right" wrapText="1"/>
    </xf>
    <xf numFmtId="0" fontId="45" fillId="34" borderId="0" xfId="0" applyFont="1" applyFill="1" applyAlignment="1">
      <alignment horizontal="right" wrapText="1"/>
    </xf>
    <xf numFmtId="165" fontId="40" fillId="34" borderId="0" xfId="0" applyNumberFormat="1" applyFont="1" applyFill="1" applyAlignment="1">
      <alignment wrapText="1"/>
    </xf>
    <xf numFmtId="0" fontId="40" fillId="34" borderId="0" xfId="0" applyFont="1" applyFill="1" applyAlignment="1">
      <alignment wrapText="1"/>
    </xf>
    <xf numFmtId="165" fontId="45" fillId="34" borderId="0" xfId="0" applyNumberFormat="1" applyFont="1" applyFill="1" applyAlignment="1">
      <alignment wrapText="1"/>
    </xf>
    <xf numFmtId="0" fontId="0" fillId="34" borderId="0" xfId="0" applyFill="1" applyAlignment="1">
      <alignment horizontal="center" vertical="center" wrapText="1"/>
    </xf>
    <xf numFmtId="0" fontId="0" fillId="0" borderId="0" xfId="0" applyAlignment="1">
      <alignment vertical="top"/>
    </xf>
    <xf numFmtId="164" fontId="0" fillId="0" borderId="0" xfId="1" applyNumberFormat="1" applyFont="1" applyAlignment="1">
      <alignment vertical="top"/>
    </xf>
    <xf numFmtId="164" fontId="0" fillId="0" borderId="0" xfId="1" applyNumberFormat="1" applyFont="1" applyAlignment="1">
      <alignment vertical="top" wrapText="1"/>
    </xf>
    <xf numFmtId="0" fontId="1" fillId="37" borderId="0" xfId="0" applyFont="1" applyFill="1" applyAlignment="1">
      <alignment wrapText="1"/>
    </xf>
    <xf numFmtId="164" fontId="1" fillId="37" borderId="0" xfId="1" applyNumberFormat="1" applyFont="1" applyFill="1" applyAlignment="1">
      <alignment vertical="top" wrapText="1"/>
    </xf>
    <xf numFmtId="0" fontId="0" fillId="37" borderId="0" xfId="0" applyFill="1" applyAlignment="1">
      <alignment wrapText="1"/>
    </xf>
    <xf numFmtId="170" fontId="0" fillId="37" borderId="0" xfId="2" applyNumberFormat="1" applyFont="1" applyFill="1" applyAlignment="1">
      <alignment vertical="top" wrapText="1"/>
    </xf>
    <xf numFmtId="170" fontId="1" fillId="37" borderId="0" xfId="2" applyNumberFormat="1" applyFont="1" applyFill="1" applyAlignment="1">
      <alignment vertical="top" wrapText="1"/>
    </xf>
    <xf numFmtId="9" fontId="0" fillId="37" borderId="0" xfId="3" applyFont="1" applyFill="1" applyAlignment="1">
      <alignment vertical="top" wrapText="1"/>
    </xf>
    <xf numFmtId="9" fontId="1" fillId="37" borderId="0" xfId="3" applyFont="1" applyFill="1" applyAlignment="1">
      <alignment vertical="top" wrapText="1"/>
    </xf>
    <xf numFmtId="0" fontId="1" fillId="22" borderId="0" xfId="0" applyFont="1" applyFill="1" applyAlignment="1">
      <alignment horizontal="left"/>
    </xf>
    <xf numFmtId="0" fontId="0" fillId="38" borderId="0" xfId="0" applyFill="1"/>
    <xf numFmtId="0" fontId="1" fillId="38" borderId="0" xfId="0" applyFont="1" applyFill="1"/>
    <xf numFmtId="0" fontId="0" fillId="38" borderId="0" xfId="0" applyFill="1" applyAlignment="1">
      <alignment wrapText="1"/>
    </xf>
    <xf numFmtId="0" fontId="1" fillId="39" borderId="0" xfId="0" applyFont="1" applyFill="1"/>
    <xf numFmtId="0" fontId="0" fillId="38" borderId="0" xfId="0" applyFill="1" applyAlignment="1">
      <alignment horizontal="left" wrapText="1" indent="1"/>
    </xf>
    <xf numFmtId="0" fontId="0" fillId="38" borderId="0" xfId="0" applyFill="1" applyAlignment="1">
      <alignment horizontal="left" wrapText="1" indent="2"/>
    </xf>
    <xf numFmtId="0" fontId="0" fillId="37" borderId="0" xfId="0" applyFill="1"/>
    <xf numFmtId="0" fontId="1" fillId="40" borderId="0" xfId="0" applyFont="1" applyFill="1"/>
    <xf numFmtId="0" fontId="0" fillId="37" borderId="0" xfId="0" applyFill="1" applyAlignment="1">
      <alignment horizontal="left" indent="2"/>
    </xf>
    <xf numFmtId="0" fontId="0" fillId="23" borderId="0" xfId="0" applyFill="1" applyAlignment="1">
      <alignment wrapText="1"/>
    </xf>
    <xf numFmtId="0" fontId="0" fillId="26" borderId="0" xfId="0" applyFill="1" applyAlignment="1">
      <alignment wrapText="1"/>
    </xf>
    <xf numFmtId="0" fontId="0" fillId="26" borderId="0" xfId="0" applyFill="1" applyAlignment="1">
      <alignment horizontal="left" wrapText="1" indent="1"/>
    </xf>
    <xf numFmtId="0" fontId="1" fillId="24" borderId="0" xfId="0" applyFont="1" applyFill="1"/>
    <xf numFmtId="0" fontId="48" fillId="25" borderId="0" xfId="9" applyFill="1"/>
    <xf numFmtId="0" fontId="4" fillId="5" borderId="0" xfId="0" applyFont="1" applyFill="1"/>
    <xf numFmtId="0" fontId="4" fillId="0" borderId="0" xfId="0" applyFont="1"/>
    <xf numFmtId="0" fontId="4" fillId="5" borderId="0" xfId="0" applyFont="1" applyFill="1" applyAlignment="1">
      <alignment wrapText="1"/>
    </xf>
    <xf numFmtId="0" fontId="3" fillId="0" borderId="0" xfId="0" applyFont="1"/>
    <xf numFmtId="0" fontId="5" fillId="2" borderId="0" xfId="0" applyFont="1" applyFill="1"/>
    <xf numFmtId="0" fontId="5" fillId="2" borderId="0" xfId="0" applyFont="1" applyFill="1" applyAlignment="1">
      <alignment wrapText="1"/>
    </xf>
    <xf numFmtId="0" fontId="3" fillId="0" borderId="0" xfId="0" applyFont="1" applyAlignment="1">
      <alignment vertical="top" wrapText="1"/>
    </xf>
    <xf numFmtId="0" fontId="4" fillId="0" borderId="0" xfId="0" applyFont="1" applyAlignment="1">
      <alignment wrapText="1"/>
    </xf>
    <xf numFmtId="9" fontId="4" fillId="0" borderId="0" xfId="0" applyNumberFormat="1" applyFont="1"/>
    <xf numFmtId="0" fontId="3" fillId="3" borderId="0" xfId="0" applyFont="1" applyFill="1" applyAlignment="1">
      <alignment vertical="top" wrapText="1"/>
    </xf>
    <xf numFmtId="0" fontId="4" fillId="3" borderId="0" xfId="0" applyFont="1" applyFill="1" applyAlignment="1">
      <alignment wrapText="1"/>
    </xf>
    <xf numFmtId="0" fontId="4" fillId="3" borderId="0" xfId="0" applyFont="1" applyFill="1"/>
    <xf numFmtId="164" fontId="4" fillId="3" borderId="0" xfId="0" applyNumberFormat="1" applyFont="1" applyFill="1"/>
    <xf numFmtId="9" fontId="4" fillId="3" borderId="0" xfId="0" applyNumberFormat="1" applyFont="1" applyFill="1"/>
    <xf numFmtId="0" fontId="5" fillId="0" borderId="0" xfId="0" applyFont="1"/>
    <xf numFmtId="0" fontId="6" fillId="0" borderId="0" xfId="0" applyFont="1" applyAlignment="1">
      <alignment wrapText="1"/>
    </xf>
    <xf numFmtId="0" fontId="6" fillId="4" borderId="0" xfId="0" applyFont="1" applyFill="1" applyAlignment="1">
      <alignment horizontal="right" wrapText="1"/>
    </xf>
    <xf numFmtId="0" fontId="6" fillId="0" borderId="0" xfId="0" applyFont="1"/>
    <xf numFmtId="0" fontId="3" fillId="0" borderId="0" xfId="0" applyFont="1" applyAlignment="1">
      <alignment vertical="top"/>
    </xf>
    <xf numFmtId="164" fontId="4" fillId="4" borderId="0" xfId="0" applyNumberFormat="1" applyFont="1" applyFill="1"/>
    <xf numFmtId="9" fontId="6" fillId="0" borderId="0" xfId="3" applyFont="1" applyBorder="1" applyAlignment="1"/>
    <xf numFmtId="0" fontId="5" fillId="0" borderId="0" xfId="0" applyFont="1" applyAlignment="1">
      <alignment wrapText="1"/>
    </xf>
    <xf numFmtId="164" fontId="5" fillId="0" borderId="0" xfId="0" applyNumberFormat="1" applyFont="1"/>
    <xf numFmtId="0" fontId="48" fillId="0" borderId="0" xfId="9"/>
    <xf numFmtId="170" fontId="0" fillId="0" borderId="0" xfId="0" applyNumberFormat="1"/>
    <xf numFmtId="9" fontId="0" fillId="0" borderId="0" xfId="3" applyFont="1"/>
    <xf numFmtId="0" fontId="48" fillId="0" borderId="0" xfId="9" applyAlignment="1">
      <alignment wrapText="1"/>
    </xf>
    <xf numFmtId="0" fontId="0" fillId="41" borderId="0" xfId="0" applyFill="1"/>
    <xf numFmtId="0" fontId="47" fillId="0" borderId="0" xfId="0" applyFont="1" applyAlignment="1">
      <alignment wrapText="1"/>
    </xf>
    <xf numFmtId="170" fontId="0" fillId="0" borderId="0" xfId="0" applyNumberFormat="1" applyAlignment="1">
      <alignment wrapText="1"/>
    </xf>
    <xf numFmtId="170" fontId="47" fillId="0" borderId="0" xfId="0" applyNumberFormat="1" applyFont="1" applyAlignment="1">
      <alignment wrapText="1"/>
    </xf>
    <xf numFmtId="0" fontId="53" fillId="23" borderId="0" xfId="0" applyFont="1" applyFill="1"/>
    <xf numFmtId="0" fontId="53" fillId="23" borderId="0" xfId="0" applyFont="1" applyFill="1" applyAlignment="1">
      <alignment wrapText="1"/>
    </xf>
    <xf numFmtId="0" fontId="54" fillId="23" borderId="0" xfId="9" applyFont="1" applyFill="1"/>
    <xf numFmtId="0" fontId="47" fillId="23" borderId="0" xfId="0" applyFont="1" applyFill="1"/>
    <xf numFmtId="0" fontId="1" fillId="23" borderId="0" xfId="0" applyFont="1" applyFill="1"/>
    <xf numFmtId="0" fontId="35" fillId="23" borderId="0" xfId="0" applyFont="1" applyFill="1"/>
    <xf numFmtId="0" fontId="55" fillId="23" borderId="0" xfId="0" applyFont="1" applyFill="1"/>
    <xf numFmtId="0" fontId="54" fillId="23" borderId="0" xfId="9" applyFont="1" applyFill="1" applyAlignment="1">
      <alignment wrapText="1"/>
    </xf>
    <xf numFmtId="170" fontId="0" fillId="23" borderId="0" xfId="0" applyNumberFormat="1" applyFill="1"/>
    <xf numFmtId="0" fontId="1" fillId="23" borderId="0" xfId="0" applyFont="1" applyFill="1" applyAlignment="1">
      <alignment horizontal="left" indent="1"/>
    </xf>
    <xf numFmtId="0" fontId="60" fillId="23" borderId="0" xfId="0" applyFont="1" applyFill="1"/>
    <xf numFmtId="0" fontId="35" fillId="23" borderId="0" xfId="0" applyFont="1" applyFill="1" applyAlignment="1">
      <alignment wrapText="1"/>
    </xf>
    <xf numFmtId="0" fontId="61" fillId="23" borderId="0" xfId="0" applyFont="1" applyFill="1"/>
    <xf numFmtId="0" fontId="35" fillId="23" borderId="0" xfId="0" applyFont="1" applyFill="1" applyAlignment="1">
      <alignment horizontal="left" wrapText="1" indent="1"/>
    </xf>
    <xf numFmtId="0" fontId="35" fillId="23" borderId="0" xfId="0" applyFont="1" applyFill="1" applyAlignment="1">
      <alignment horizontal="left" indent="2"/>
    </xf>
    <xf numFmtId="0" fontId="58" fillId="23" borderId="0" xfId="0" applyFont="1" applyFill="1" applyAlignment="1">
      <alignment horizontal="left" vertical="center" wrapText="1"/>
    </xf>
    <xf numFmtId="2" fontId="0" fillId="23" borderId="0" xfId="0" applyNumberFormat="1" applyFill="1" applyAlignment="1">
      <alignment horizontal="left" wrapText="1"/>
    </xf>
    <xf numFmtId="9" fontId="0" fillId="23" borderId="0" xfId="3" applyFont="1" applyFill="1" applyAlignment="1">
      <alignment horizontal="left" wrapText="1"/>
    </xf>
    <xf numFmtId="0" fontId="1" fillId="33" borderId="1" xfId="0" applyFont="1" applyFill="1" applyBorder="1"/>
    <xf numFmtId="0" fontId="0" fillId="33" borderId="1" xfId="0" applyFill="1" applyBorder="1"/>
    <xf numFmtId="0" fontId="56" fillId="33" borderId="1" xfId="0" applyFont="1" applyFill="1" applyBorder="1"/>
    <xf numFmtId="9" fontId="0" fillId="0" borderId="0" xfId="0" applyNumberFormat="1"/>
    <xf numFmtId="0" fontId="0" fillId="0" borderId="57" xfId="0" applyBorder="1"/>
    <xf numFmtId="0" fontId="0" fillId="0" borderId="58" xfId="0" applyBorder="1"/>
    <xf numFmtId="0" fontId="53" fillId="23" borderId="56" xfId="0" applyFont="1" applyFill="1" applyBorder="1" applyAlignment="1">
      <alignment horizontal="left" wrapText="1"/>
    </xf>
    <xf numFmtId="0" fontId="54" fillId="23" borderId="0" xfId="9" applyFont="1" applyFill="1" applyBorder="1" applyAlignment="1">
      <alignment wrapText="1"/>
    </xf>
    <xf numFmtId="0" fontId="35" fillId="23" borderId="0" xfId="0" applyFont="1" applyFill="1" applyAlignment="1">
      <alignment horizontal="left" indent="1"/>
    </xf>
    <xf numFmtId="0" fontId="0" fillId="23" borderId="0" xfId="0" applyFill="1" applyAlignment="1">
      <alignment vertical="center"/>
    </xf>
    <xf numFmtId="0" fontId="0" fillId="23" borderId="0" xfId="0" applyFill="1" applyAlignment="1">
      <alignment horizontal="left"/>
    </xf>
    <xf numFmtId="0" fontId="1" fillId="33" borderId="1" xfId="0" applyFont="1" applyFill="1" applyBorder="1" applyAlignment="1">
      <alignment horizontal="left"/>
    </xf>
    <xf numFmtId="170" fontId="0" fillId="23" borderId="0" xfId="0" applyNumberFormat="1" applyFill="1" applyAlignment="1">
      <alignment horizontal="left"/>
    </xf>
    <xf numFmtId="170" fontId="0" fillId="23" borderId="2" xfId="0" applyNumberFormat="1" applyFill="1" applyBorder="1" applyAlignment="1">
      <alignment horizontal="left"/>
    </xf>
    <xf numFmtId="0" fontId="35" fillId="26" borderId="0" xfId="0" applyFont="1" applyFill="1" applyAlignment="1">
      <alignment horizontal="left" wrapText="1"/>
    </xf>
    <xf numFmtId="0" fontId="0" fillId="26" borderId="56" xfId="0" applyFill="1" applyBorder="1" applyAlignment="1">
      <alignment horizontal="left" wrapText="1"/>
    </xf>
    <xf numFmtId="2" fontId="0" fillId="23" borderId="0" xfId="0" applyNumberFormat="1" applyFill="1"/>
    <xf numFmtId="0" fontId="35" fillId="23" borderId="0" xfId="0" applyFont="1" applyFill="1" applyAlignment="1">
      <alignment horizontal="left"/>
    </xf>
    <xf numFmtId="0" fontId="35" fillId="23" borderId="2" xfId="0" applyFont="1" applyFill="1" applyBorder="1"/>
    <xf numFmtId="0" fontId="52" fillId="23" borderId="0" xfId="0" applyFont="1" applyFill="1" applyAlignment="1">
      <alignment horizontal="left" wrapText="1"/>
    </xf>
    <xf numFmtId="0" fontId="52" fillId="23" borderId="0" xfId="0" applyFont="1" applyFill="1" applyAlignment="1">
      <alignment horizontal="left"/>
    </xf>
    <xf numFmtId="0" fontId="34" fillId="44" borderId="61" xfId="0" applyFont="1" applyFill="1" applyBorder="1"/>
    <xf numFmtId="9" fontId="0" fillId="0" borderId="47" xfId="0" applyNumberFormat="1" applyBorder="1"/>
    <xf numFmtId="0" fontId="54" fillId="23" borderId="47" xfId="9" applyFont="1" applyFill="1" applyBorder="1" applyAlignment="1">
      <alignment wrapText="1"/>
    </xf>
    <xf numFmtId="0" fontId="0" fillId="0" borderId="47" xfId="0" applyBorder="1"/>
    <xf numFmtId="0" fontId="0" fillId="23" borderId="47" xfId="0" applyFill="1" applyBorder="1"/>
    <xf numFmtId="0" fontId="0" fillId="23" borderId="48" xfId="0" applyFill="1" applyBorder="1"/>
    <xf numFmtId="0" fontId="0" fillId="23" borderId="51" xfId="0" applyFill="1" applyBorder="1"/>
    <xf numFmtId="3" fontId="0" fillId="23" borderId="48" xfId="0" applyNumberFormat="1" applyFill="1" applyBorder="1"/>
    <xf numFmtId="0" fontId="1" fillId="0" borderId="47" xfId="0" applyFont="1" applyBorder="1"/>
    <xf numFmtId="0" fontId="0" fillId="23" borderId="47" xfId="0" applyFill="1" applyBorder="1" applyAlignment="1">
      <alignment wrapText="1"/>
    </xf>
    <xf numFmtId="0" fontId="1" fillId="23" borderId="49" xfId="0" applyFont="1" applyFill="1" applyBorder="1"/>
    <xf numFmtId="0" fontId="1" fillId="23" borderId="32" xfId="0" applyFont="1" applyFill="1" applyBorder="1"/>
    <xf numFmtId="0" fontId="0" fillId="42" borderId="47" xfId="0" applyFill="1" applyBorder="1" applyAlignment="1" applyProtection="1">
      <alignment horizontal="left" wrapText="1"/>
      <protection locked="0"/>
    </xf>
    <xf numFmtId="9" fontId="0" fillId="42" borderId="47" xfId="3" applyFont="1" applyFill="1" applyBorder="1" applyAlignment="1" applyProtection="1">
      <alignment horizontal="left" wrapText="1"/>
      <protection locked="0"/>
    </xf>
    <xf numFmtId="0" fontId="0" fillId="42" borderId="47" xfId="0" applyFill="1" applyBorder="1" applyAlignment="1" applyProtection="1">
      <alignment horizontal="left"/>
      <protection locked="0"/>
    </xf>
    <xf numFmtId="0" fontId="0" fillId="42" borderId="47" xfId="0" applyFill="1" applyBorder="1" applyProtection="1">
      <protection locked="0"/>
    </xf>
    <xf numFmtId="2" fontId="0" fillId="42" borderId="48" xfId="0" applyNumberFormat="1" applyFill="1" applyBorder="1" applyAlignment="1" applyProtection="1">
      <alignment horizontal="left"/>
      <protection locked="0"/>
    </xf>
    <xf numFmtId="9" fontId="0" fillId="42" borderId="47" xfId="3" applyFont="1" applyFill="1" applyBorder="1" applyAlignment="1" applyProtection="1">
      <alignment horizontal="left"/>
      <protection locked="0"/>
    </xf>
    <xf numFmtId="0" fontId="35" fillId="23" borderId="0" xfId="0" applyFont="1" applyFill="1" applyAlignment="1">
      <alignment horizontal="left" wrapText="1"/>
    </xf>
    <xf numFmtId="9" fontId="48" fillId="0" borderId="0" xfId="9" applyNumberFormat="1" applyFill="1" applyBorder="1" applyAlignment="1">
      <alignment wrapText="1"/>
    </xf>
    <xf numFmtId="2" fontId="0" fillId="26" borderId="56" xfId="0" applyNumberFormat="1" applyFill="1" applyBorder="1" applyAlignment="1">
      <alignment horizontal="left" wrapText="1"/>
    </xf>
    <xf numFmtId="172" fontId="0" fillId="26" borderId="56" xfId="0" applyNumberFormat="1" applyFill="1" applyBorder="1" applyAlignment="1">
      <alignment horizontal="left" wrapText="1"/>
    </xf>
    <xf numFmtId="49" fontId="0" fillId="23" borderId="51" xfId="0" applyNumberFormat="1" applyFill="1" applyBorder="1" applyAlignment="1">
      <alignment horizontal="right"/>
    </xf>
    <xf numFmtId="49" fontId="0" fillId="23" borderId="50" xfId="0" applyNumberFormat="1" applyFill="1" applyBorder="1" applyAlignment="1">
      <alignment horizontal="right"/>
    </xf>
    <xf numFmtId="49" fontId="0" fillId="23" borderId="48" xfId="0" applyNumberFormat="1" applyFill="1" applyBorder="1" applyAlignment="1">
      <alignment horizontal="right"/>
    </xf>
    <xf numFmtId="0" fontId="53" fillId="23" borderId="44" xfId="0" applyFont="1" applyFill="1" applyBorder="1"/>
    <xf numFmtId="0" fontId="0" fillId="23" borderId="45" xfId="0" applyFill="1" applyBorder="1"/>
    <xf numFmtId="49" fontId="53" fillId="23" borderId="63" xfId="0" applyNumberFormat="1" applyFont="1" applyFill="1" applyBorder="1" applyAlignment="1">
      <alignment horizontal="right"/>
    </xf>
    <xf numFmtId="3" fontId="0" fillId="0" borderId="47" xfId="0" applyNumberFormat="1" applyBorder="1"/>
    <xf numFmtId="0" fontId="53" fillId="0" borderId="47" xfId="0" applyFont="1" applyBorder="1"/>
    <xf numFmtId="0" fontId="54" fillId="0" borderId="47" xfId="9" applyFont="1" applyBorder="1"/>
    <xf numFmtId="0" fontId="54" fillId="0" borderId="47" xfId="9" applyFont="1" applyBorder="1" applyAlignment="1">
      <alignment wrapText="1"/>
    </xf>
    <xf numFmtId="0" fontId="1" fillId="26" borderId="44" xfId="0" applyFont="1" applyFill="1" applyBorder="1"/>
    <xf numFmtId="0" fontId="1" fillId="26" borderId="25" xfId="0" applyFont="1" applyFill="1" applyBorder="1" applyAlignment="1">
      <alignment wrapText="1"/>
    </xf>
    <xf numFmtId="0" fontId="1" fillId="26" borderId="45" xfId="0" applyFont="1" applyFill="1" applyBorder="1" applyAlignment="1">
      <alignment wrapText="1"/>
    </xf>
    <xf numFmtId="0" fontId="50" fillId="23" borderId="64" xfId="0" applyFont="1" applyFill="1" applyBorder="1" applyAlignment="1">
      <alignment horizontal="left" vertical="center" wrapText="1"/>
    </xf>
    <xf numFmtId="0" fontId="1" fillId="0" borderId="65" xfId="0" applyFont="1" applyBorder="1"/>
    <xf numFmtId="0" fontId="49" fillId="23" borderId="64" xfId="0" applyFont="1" applyFill="1" applyBorder="1" applyAlignment="1">
      <alignment wrapText="1"/>
    </xf>
    <xf numFmtId="3" fontId="0" fillId="0" borderId="65" xfId="0" applyNumberFormat="1" applyBorder="1"/>
    <xf numFmtId="0" fontId="49" fillId="23" borderId="17" xfId="0" applyFont="1" applyFill="1" applyBorder="1" applyAlignment="1">
      <alignment wrapText="1"/>
    </xf>
    <xf numFmtId="0" fontId="0" fillId="23" borderId="66" xfId="0" applyFill="1" applyBorder="1" applyAlignment="1">
      <alignment wrapText="1"/>
    </xf>
    <xf numFmtId="3" fontId="0" fillId="0" borderId="66" xfId="0" applyNumberFormat="1" applyBorder="1"/>
    <xf numFmtId="3" fontId="0" fillId="0" borderId="67" xfId="0" applyNumberFormat="1" applyBorder="1"/>
    <xf numFmtId="0" fontId="0" fillId="23" borderId="47" xfId="0" applyFill="1" applyBorder="1" applyAlignment="1">
      <alignment horizontal="right" wrapText="1"/>
    </xf>
    <xf numFmtId="3" fontId="0" fillId="23" borderId="51" xfId="0" applyNumberFormat="1" applyFill="1" applyBorder="1"/>
    <xf numFmtId="3" fontId="0" fillId="23" borderId="50" xfId="0" applyNumberFormat="1" applyFill="1" applyBorder="1"/>
    <xf numFmtId="3" fontId="0" fillId="23" borderId="47" xfId="0" applyNumberFormat="1" applyFill="1" applyBorder="1" applyAlignment="1">
      <alignment wrapText="1"/>
    </xf>
    <xf numFmtId="0" fontId="50" fillId="23" borderId="0" xfId="0" applyFont="1" applyFill="1" applyAlignment="1">
      <alignment horizontal="left" vertical="center"/>
    </xf>
    <xf numFmtId="0" fontId="66" fillId="23" borderId="0" xfId="0" applyFont="1" applyFill="1" applyAlignment="1">
      <alignment wrapText="1"/>
    </xf>
    <xf numFmtId="9" fontId="0" fillId="23" borderId="0" xfId="0" applyNumberFormat="1" applyFill="1" applyAlignment="1">
      <alignment wrapText="1"/>
    </xf>
    <xf numFmtId="9" fontId="0" fillId="23" borderId="47" xfId="0" applyNumberFormat="1" applyFill="1" applyBorder="1" applyAlignment="1">
      <alignment wrapText="1"/>
    </xf>
    <xf numFmtId="0" fontId="1" fillId="46" borderId="47" xfId="0" applyFont="1" applyFill="1" applyBorder="1" applyAlignment="1">
      <alignment wrapText="1"/>
    </xf>
    <xf numFmtId="0" fontId="1" fillId="46" borderId="47" xfId="0" applyFont="1" applyFill="1" applyBorder="1"/>
    <xf numFmtId="164" fontId="0" fillId="23" borderId="47" xfId="1" applyNumberFormat="1" applyFont="1" applyFill="1" applyBorder="1"/>
    <xf numFmtId="9" fontId="0" fillId="23" borderId="47" xfId="0" applyNumberFormat="1" applyFill="1" applyBorder="1"/>
    <xf numFmtId="9" fontId="0" fillId="23" borderId="47" xfId="0" applyNumberFormat="1" applyFill="1" applyBorder="1" applyAlignment="1">
      <alignment horizontal="right"/>
    </xf>
    <xf numFmtId="0" fontId="1" fillId="33" borderId="47" xfId="0" applyFont="1" applyFill="1" applyBorder="1"/>
    <xf numFmtId="0" fontId="0" fillId="33" borderId="47" xfId="0" applyFill="1" applyBorder="1"/>
    <xf numFmtId="0" fontId="1" fillId="5" borderId="47" xfId="0" applyFont="1" applyFill="1" applyBorder="1"/>
    <xf numFmtId="0" fontId="53" fillId="33" borderId="47" xfId="0" applyFont="1" applyFill="1" applyBorder="1" applyAlignment="1">
      <alignment wrapText="1"/>
    </xf>
    <xf numFmtId="0" fontId="34" fillId="45" borderId="62" xfId="0" applyFont="1" applyFill="1" applyBorder="1" applyAlignment="1">
      <alignment horizontal="left"/>
    </xf>
    <xf numFmtId="0" fontId="34" fillId="45" borderId="0" xfId="0" applyFont="1" applyFill="1" applyAlignment="1">
      <alignment horizontal="left"/>
    </xf>
    <xf numFmtId="0" fontId="1" fillId="26" borderId="44" xfId="0" applyFont="1" applyFill="1" applyBorder="1" applyAlignment="1">
      <alignment horizontal="left" wrapText="1"/>
    </xf>
    <xf numFmtId="0" fontId="1" fillId="26" borderId="25" xfId="0" applyFont="1" applyFill="1" applyBorder="1" applyAlignment="1">
      <alignment horizontal="left" wrapText="1"/>
    </xf>
    <xf numFmtId="0" fontId="1" fillId="26" borderId="45" xfId="0" applyFont="1" applyFill="1" applyBorder="1" applyAlignment="1">
      <alignment horizontal="left" wrapText="1"/>
    </xf>
    <xf numFmtId="0" fontId="65" fillId="23" borderId="0" xfId="0" applyFont="1" applyFill="1" applyAlignment="1">
      <alignment horizontal="left" wrapText="1"/>
    </xf>
    <xf numFmtId="0" fontId="65" fillId="23" borderId="0" xfId="0" applyFont="1" applyFill="1" applyAlignment="1">
      <alignment wrapText="1"/>
    </xf>
    <xf numFmtId="0" fontId="66" fillId="33" borderId="1" xfId="0" applyFont="1" applyFill="1" applyBorder="1" applyAlignment="1">
      <alignment wrapText="1"/>
    </xf>
    <xf numFmtId="0" fontId="54" fillId="33" borderId="1" xfId="9" applyFont="1" applyFill="1" applyBorder="1" applyAlignment="1">
      <alignment wrapText="1"/>
    </xf>
    <xf numFmtId="0" fontId="50" fillId="23" borderId="64" xfId="0" applyFont="1" applyFill="1" applyBorder="1" applyAlignment="1">
      <alignment horizontal="left" wrapText="1"/>
    </xf>
    <xf numFmtId="49" fontId="53" fillId="23" borderId="0" xfId="0" applyNumberFormat="1" applyFont="1" applyFill="1" applyAlignment="1">
      <alignment horizontal="right"/>
    </xf>
    <xf numFmtId="0" fontId="0" fillId="23" borderId="48" xfId="0" applyFill="1" applyBorder="1" applyAlignment="1">
      <alignment wrapText="1"/>
    </xf>
    <xf numFmtId="0" fontId="1" fillId="26" borderId="25" xfId="0" applyFont="1" applyFill="1" applyBorder="1"/>
    <xf numFmtId="173" fontId="0" fillId="23" borderId="47" xfId="3" applyNumberFormat="1" applyFont="1" applyFill="1" applyBorder="1"/>
    <xf numFmtId="0" fontId="1" fillId="26" borderId="45" xfId="0" applyFont="1" applyFill="1" applyBorder="1"/>
    <xf numFmtId="173" fontId="0" fillId="23" borderId="51" xfId="3" applyNumberFormat="1" applyFont="1" applyFill="1" applyBorder="1"/>
    <xf numFmtId="173" fontId="0" fillId="23" borderId="50" xfId="3" applyNumberFormat="1" applyFont="1" applyFill="1" applyBorder="1"/>
    <xf numFmtId="173" fontId="0" fillId="23" borderId="48" xfId="3" applyNumberFormat="1" applyFont="1" applyFill="1" applyBorder="1"/>
    <xf numFmtId="164" fontId="0" fillId="23" borderId="51" xfId="1" applyNumberFormat="1" applyFont="1" applyFill="1" applyBorder="1"/>
    <xf numFmtId="164" fontId="0" fillId="23" borderId="50" xfId="1" applyNumberFormat="1" applyFont="1" applyFill="1" applyBorder="1"/>
    <xf numFmtId="164" fontId="0" fillId="23" borderId="48" xfId="1" applyNumberFormat="1" applyFont="1" applyFill="1" applyBorder="1"/>
    <xf numFmtId="0" fontId="68" fillId="23" borderId="48" xfId="0" applyFont="1" applyFill="1" applyBorder="1" applyAlignment="1">
      <alignment horizontal="right" wrapText="1"/>
    </xf>
    <xf numFmtId="3" fontId="68" fillId="23" borderId="48" xfId="0" applyNumberFormat="1" applyFont="1" applyFill="1" applyBorder="1" applyAlignment="1">
      <alignment wrapText="1"/>
    </xf>
    <xf numFmtId="0" fontId="68" fillId="23" borderId="47" xfId="0" applyFont="1" applyFill="1" applyBorder="1" applyAlignment="1">
      <alignment horizontal="right" wrapText="1"/>
    </xf>
    <xf numFmtId="3" fontId="68" fillId="23" borderId="47" xfId="0" applyNumberFormat="1" applyFont="1" applyFill="1" applyBorder="1" applyAlignment="1">
      <alignment wrapText="1"/>
    </xf>
    <xf numFmtId="0" fontId="69" fillId="26" borderId="25" xfId="0" applyFont="1" applyFill="1" applyBorder="1" applyAlignment="1">
      <alignment wrapText="1"/>
    </xf>
    <xf numFmtId="49" fontId="68" fillId="23" borderId="51" xfId="0" applyNumberFormat="1" applyFont="1" applyFill="1" applyBorder="1" applyAlignment="1">
      <alignment horizontal="right"/>
    </xf>
    <xf numFmtId="3" fontId="68" fillId="23" borderId="51" xfId="0" applyNumberFormat="1" applyFont="1" applyFill="1" applyBorder="1"/>
    <xf numFmtId="49" fontId="68" fillId="23" borderId="50" xfId="0" applyNumberFormat="1" applyFont="1" applyFill="1" applyBorder="1" applyAlignment="1">
      <alignment horizontal="right"/>
    </xf>
    <xf numFmtId="3" fontId="68" fillId="23" borderId="50" xfId="0" applyNumberFormat="1" applyFont="1" applyFill="1" applyBorder="1"/>
    <xf numFmtId="49" fontId="68" fillId="23" borderId="48" xfId="0" applyNumberFormat="1" applyFont="1" applyFill="1" applyBorder="1" applyAlignment="1">
      <alignment horizontal="right"/>
    </xf>
    <xf numFmtId="3" fontId="68" fillId="23" borderId="48" xfId="0" applyNumberFormat="1" applyFont="1" applyFill="1" applyBorder="1"/>
    <xf numFmtId="0" fontId="53" fillId="23" borderId="0" xfId="0" applyFont="1" applyFill="1" applyAlignment="1">
      <alignment horizontal="left" wrapText="1"/>
    </xf>
    <xf numFmtId="0" fontId="56" fillId="33" borderId="1" xfId="0" applyFont="1" applyFill="1" applyBorder="1" applyAlignment="1">
      <alignment horizontal="left" wrapText="1"/>
    </xf>
    <xf numFmtId="0" fontId="35" fillId="23" borderId="0" xfId="0" applyFont="1" applyFill="1" applyAlignment="1">
      <alignment horizontal="left" vertical="center" wrapText="1"/>
    </xf>
    <xf numFmtId="0" fontId="53" fillId="23" borderId="0" xfId="0" applyFont="1" applyFill="1" applyAlignment="1">
      <alignment horizontal="left"/>
    </xf>
    <xf numFmtId="43" fontId="0" fillId="42" borderId="47" xfId="1" applyFont="1" applyFill="1" applyBorder="1" applyAlignment="1" applyProtection="1">
      <alignment horizontal="left"/>
      <protection locked="0"/>
    </xf>
    <xf numFmtId="0" fontId="70" fillId="33" borderId="1" xfId="0" applyFont="1" applyFill="1" applyBorder="1"/>
    <xf numFmtId="0" fontId="1" fillId="23" borderId="0" xfId="0" applyFont="1" applyFill="1" applyAlignment="1">
      <alignment horizontal="left" vertical="center"/>
    </xf>
    <xf numFmtId="0" fontId="1" fillId="23" borderId="0" xfId="0" applyFont="1" applyFill="1" applyAlignment="1">
      <alignment vertical="center"/>
    </xf>
    <xf numFmtId="43" fontId="0" fillId="0" borderId="47" xfId="1" applyFont="1" applyFill="1" applyBorder="1" applyAlignment="1" applyProtection="1">
      <alignment horizontal="left"/>
      <protection locked="0"/>
    </xf>
    <xf numFmtId="43" fontId="47" fillId="23" borderId="0" xfId="1" applyFont="1" applyFill="1" applyAlignment="1">
      <alignment horizontal="left"/>
    </xf>
    <xf numFmtId="43" fontId="0" fillId="23" borderId="0" xfId="1" applyFont="1" applyFill="1" applyAlignment="1">
      <alignment horizontal="left"/>
    </xf>
    <xf numFmtId="43" fontId="0" fillId="23" borderId="0" xfId="1" applyFont="1" applyFill="1" applyBorder="1" applyAlignment="1"/>
    <xf numFmtId="43" fontId="35" fillId="23" borderId="47" xfId="1" applyFont="1" applyFill="1" applyBorder="1" applyAlignment="1">
      <alignment horizontal="left"/>
    </xf>
    <xf numFmtId="43" fontId="0" fillId="23" borderId="47" xfId="1" applyFont="1" applyFill="1" applyBorder="1" applyAlignment="1">
      <alignment horizontal="left"/>
    </xf>
    <xf numFmtId="43" fontId="35" fillId="42" borderId="47" xfId="1" applyFont="1" applyFill="1" applyBorder="1" applyAlignment="1" applyProtection="1">
      <alignment horizontal="left"/>
      <protection locked="0"/>
    </xf>
    <xf numFmtId="0" fontId="1" fillId="42" borderId="0" xfId="0" applyFont="1" applyFill="1" applyAlignment="1">
      <alignment horizontal="left" vertical="center"/>
    </xf>
    <xf numFmtId="43" fontId="0" fillId="0" borderId="47" xfId="1" applyFont="1" applyFill="1" applyBorder="1" applyAlignment="1" applyProtection="1">
      <protection locked="0"/>
    </xf>
    <xf numFmtId="43" fontId="0" fillId="42" borderId="47" xfId="1" applyFont="1" applyFill="1" applyBorder="1" applyAlignment="1" applyProtection="1">
      <protection locked="0"/>
    </xf>
    <xf numFmtId="43" fontId="35" fillId="0" borderId="47" xfId="1" applyFont="1" applyFill="1" applyBorder="1" applyAlignment="1"/>
    <xf numFmtId="43" fontId="47" fillId="23" borderId="0" xfId="1" applyFont="1" applyFill="1" applyBorder="1" applyAlignment="1"/>
    <xf numFmtId="43" fontId="0" fillId="23" borderId="47" xfId="1" applyFont="1" applyFill="1" applyBorder="1" applyAlignment="1"/>
    <xf numFmtId="43" fontId="58" fillId="23" borderId="0" xfId="1" applyFont="1" applyFill="1" applyBorder="1" applyAlignment="1">
      <alignment vertical="center" wrapText="1"/>
    </xf>
    <xf numFmtId="43" fontId="35" fillId="42" borderId="48" xfId="1" applyFont="1" applyFill="1" applyBorder="1" applyAlignment="1" applyProtection="1">
      <protection locked="0"/>
    </xf>
    <xf numFmtId="43" fontId="35" fillId="42" borderId="47" xfId="1" applyFont="1" applyFill="1" applyBorder="1" applyAlignment="1" applyProtection="1">
      <protection locked="0"/>
    </xf>
    <xf numFmtId="43" fontId="0" fillId="42" borderId="48" xfId="1" applyFont="1" applyFill="1" applyBorder="1" applyAlignment="1" applyProtection="1">
      <protection locked="0"/>
    </xf>
    <xf numFmtId="0" fontId="53" fillId="0" borderId="0" xfId="0" applyFont="1" applyAlignment="1">
      <alignment horizontal="left" wrapText="1"/>
    </xf>
    <xf numFmtId="0" fontId="53" fillId="0" borderId="0" xfId="0" applyFont="1" applyAlignment="1">
      <alignment horizontal="left"/>
    </xf>
    <xf numFmtId="0" fontId="61" fillId="23" borderId="0" xfId="0" applyFont="1" applyFill="1" applyAlignment="1">
      <alignment wrapText="1"/>
    </xf>
    <xf numFmtId="43" fontId="0" fillId="42" borderId="47" xfId="1" applyFont="1" applyFill="1" applyBorder="1" applyAlignment="1" applyProtection="1">
      <alignment wrapText="1"/>
      <protection locked="0"/>
    </xf>
    <xf numFmtId="0" fontId="53" fillId="0" borderId="1" xfId="0" applyFont="1" applyBorder="1" applyAlignment="1">
      <alignment horizontal="left" wrapText="1"/>
    </xf>
    <xf numFmtId="0" fontId="56" fillId="33" borderId="1" xfId="0" applyFont="1" applyFill="1" applyBorder="1" applyAlignment="1">
      <alignment wrapText="1"/>
    </xf>
    <xf numFmtId="0" fontId="35" fillId="23" borderId="0" xfId="0" applyFont="1" applyFill="1" applyAlignment="1">
      <alignment vertical="center" wrapText="1"/>
    </xf>
    <xf numFmtId="0" fontId="53" fillId="23" borderId="2" xfId="0" applyFont="1" applyFill="1" applyBorder="1" applyAlignment="1">
      <alignment wrapText="1"/>
    </xf>
    <xf numFmtId="170" fontId="53" fillId="23" borderId="0" xfId="0" applyNumberFormat="1" applyFont="1" applyFill="1" applyAlignment="1">
      <alignment wrapText="1"/>
    </xf>
    <xf numFmtId="0" fontId="53" fillId="0" borderId="56" xfId="0" applyFont="1" applyBorder="1" applyAlignment="1">
      <alignment horizontal="left" wrapText="1"/>
    </xf>
    <xf numFmtId="0" fontId="35" fillId="0" borderId="1" xfId="0" applyFont="1" applyBorder="1" applyAlignment="1">
      <alignment horizontal="left"/>
    </xf>
    <xf numFmtId="0" fontId="0" fillId="0" borderId="1" xfId="0" applyBorder="1" applyAlignment="1">
      <alignment horizontal="left"/>
    </xf>
    <xf numFmtId="0" fontId="53" fillId="0" borderId="54" xfId="0" applyFont="1" applyBorder="1" applyAlignment="1">
      <alignment wrapText="1"/>
    </xf>
    <xf numFmtId="0" fontId="61" fillId="0" borderId="1" xfId="0" applyFont="1" applyBorder="1"/>
    <xf numFmtId="9" fontId="0" fillId="0" borderId="47" xfId="0" applyNumberFormat="1" applyBorder="1" applyAlignment="1">
      <alignment horizontal="left" wrapText="1"/>
    </xf>
    <xf numFmtId="0" fontId="53" fillId="0" borderId="47" xfId="0" applyFont="1" applyBorder="1" applyAlignment="1">
      <alignment horizontal="left"/>
    </xf>
    <xf numFmtId="0" fontId="35" fillId="23" borderId="0" xfId="0" applyFont="1" applyFill="1" applyAlignment="1">
      <alignment horizontal="left" wrapText="1" indent="2"/>
    </xf>
    <xf numFmtId="0" fontId="0" fillId="0" borderId="0" xfId="0" applyAlignment="1">
      <alignment horizontal="left"/>
    </xf>
    <xf numFmtId="9" fontId="0" fillId="42" borderId="44" xfId="3" applyFont="1" applyFill="1" applyBorder="1" applyAlignment="1" applyProtection="1">
      <alignment horizontal="left"/>
      <protection locked="0"/>
    </xf>
    <xf numFmtId="43" fontId="35" fillId="23" borderId="44" xfId="1" applyFont="1" applyFill="1" applyBorder="1" applyAlignment="1">
      <alignment horizontal="left"/>
    </xf>
    <xf numFmtId="0" fontId="35" fillId="23" borderId="0" xfId="0" applyFont="1" applyFill="1" applyAlignment="1">
      <alignment horizontal="left" indent="3"/>
    </xf>
    <xf numFmtId="0" fontId="35" fillId="23" borderId="0" xfId="0" applyFont="1" applyFill="1" applyAlignment="1">
      <alignment horizontal="left" wrapText="1" indent="3"/>
    </xf>
    <xf numFmtId="0" fontId="53" fillId="0" borderId="0" xfId="0" applyFont="1" applyAlignment="1">
      <alignment wrapText="1"/>
    </xf>
    <xf numFmtId="0" fontId="35" fillId="23" borderId="2" xfId="0" applyFont="1" applyFill="1" applyBorder="1" applyAlignment="1">
      <alignment horizontal="left" wrapText="1" indent="3"/>
    </xf>
    <xf numFmtId="0" fontId="0" fillId="42" borderId="44" xfId="0" applyFill="1" applyBorder="1" applyAlignment="1" applyProtection="1">
      <alignment horizontal="left"/>
      <protection locked="0"/>
    </xf>
    <xf numFmtId="43" fontId="0" fillId="42" borderId="44" xfId="1" applyFont="1" applyFill="1" applyBorder="1" applyAlignment="1" applyProtection="1">
      <alignment horizontal="left"/>
      <protection locked="0"/>
    </xf>
    <xf numFmtId="9" fontId="0" fillId="0" borderId="47" xfId="0" applyNumberFormat="1" applyBorder="1" applyAlignment="1">
      <alignment wrapText="1"/>
    </xf>
    <xf numFmtId="164" fontId="0" fillId="0" borderId="47" xfId="1" applyNumberFormat="1" applyFont="1" applyFill="1" applyBorder="1" applyAlignment="1">
      <alignment horizontal="left"/>
    </xf>
    <xf numFmtId="0" fontId="0" fillId="23" borderId="0" xfId="0" applyFill="1" applyAlignment="1">
      <alignment horizontal="left" wrapText="1" indent="3"/>
    </xf>
    <xf numFmtId="0" fontId="0" fillId="23" borderId="0" xfId="0" applyFill="1" applyAlignment="1">
      <alignment horizontal="left" indent="3"/>
    </xf>
    <xf numFmtId="9" fontId="48" fillId="0" borderId="47" xfId="9" applyNumberFormat="1" applyFill="1" applyBorder="1" applyAlignment="1">
      <alignment wrapText="1"/>
    </xf>
    <xf numFmtId="0" fontId="53" fillId="0" borderId="47" xfId="0" applyFont="1" applyBorder="1" applyAlignment="1">
      <alignment horizontal="left" wrapText="1"/>
    </xf>
    <xf numFmtId="43" fontId="1" fillId="23" borderId="47" xfId="1" applyFont="1" applyFill="1" applyBorder="1" applyAlignment="1">
      <alignment horizontal="left"/>
    </xf>
    <xf numFmtId="43" fontId="0" fillId="0" borderId="47" xfId="1" applyFont="1" applyFill="1" applyBorder="1" applyAlignment="1">
      <alignment horizontal="left" wrapText="1"/>
    </xf>
    <xf numFmtId="9" fontId="48" fillId="0" borderId="51" xfId="9" applyNumberFormat="1" applyFill="1" applyBorder="1" applyAlignment="1">
      <alignment wrapText="1"/>
    </xf>
    <xf numFmtId="43" fontId="0" fillId="0" borderId="48" xfId="1" applyFont="1" applyFill="1" applyBorder="1" applyAlignment="1">
      <alignment horizontal="left" wrapText="1"/>
    </xf>
    <xf numFmtId="0" fontId="53" fillId="0" borderId="1" xfId="0" applyFont="1" applyBorder="1" applyAlignment="1">
      <alignment wrapText="1"/>
    </xf>
    <xf numFmtId="0" fontId="54" fillId="0" borderId="1" xfId="9" applyFont="1" applyFill="1" applyBorder="1" applyAlignment="1">
      <alignment wrapText="1"/>
    </xf>
    <xf numFmtId="43" fontId="0" fillId="42" borderId="44" xfId="1" applyFont="1" applyFill="1" applyBorder="1" applyAlignment="1" applyProtection="1">
      <protection locked="0"/>
    </xf>
    <xf numFmtId="0" fontId="58" fillId="0" borderId="0" xfId="0" applyFont="1" applyAlignment="1">
      <alignment horizontal="left" vertical="center" wrapText="1"/>
    </xf>
    <xf numFmtId="43" fontId="0" fillId="42" borderId="52" xfId="1" applyFont="1" applyFill="1" applyBorder="1" applyAlignment="1" applyProtection="1">
      <protection locked="0"/>
    </xf>
    <xf numFmtId="0" fontId="35" fillId="0" borderId="47" xfId="0" applyFont="1" applyBorder="1" applyAlignment="1">
      <alignment horizontal="left" wrapText="1"/>
    </xf>
    <xf numFmtId="164" fontId="35" fillId="42" borderId="44" xfId="1" applyNumberFormat="1" applyFont="1" applyFill="1" applyBorder="1" applyAlignment="1" applyProtection="1">
      <protection locked="0"/>
    </xf>
    <xf numFmtId="49" fontId="0" fillId="0" borderId="47" xfId="0" applyNumberFormat="1" applyBorder="1" applyAlignment="1">
      <alignment wrapText="1"/>
    </xf>
    <xf numFmtId="164" fontId="0" fillId="0" borderId="47" xfId="1" applyNumberFormat="1" applyFont="1" applyFill="1" applyBorder="1" applyAlignment="1">
      <alignment horizontal="left" wrapText="1"/>
    </xf>
    <xf numFmtId="0" fontId="1" fillId="23" borderId="0" xfId="0" applyFont="1" applyFill="1" applyAlignment="1">
      <alignment vertical="center" wrapText="1"/>
    </xf>
    <xf numFmtId="0" fontId="35" fillId="23" borderId="59" xfId="0" applyFont="1" applyFill="1" applyBorder="1" applyAlignment="1">
      <alignment horizontal="left" indent="3"/>
    </xf>
    <xf numFmtId="164" fontId="0" fillId="0" borderId="47" xfId="1" applyNumberFormat="1" applyFont="1" applyFill="1" applyBorder="1" applyAlignment="1">
      <alignment wrapText="1"/>
    </xf>
    <xf numFmtId="164" fontId="0" fillId="0" borderId="47" xfId="0" applyNumberFormat="1" applyBorder="1"/>
    <xf numFmtId="0" fontId="52" fillId="23" borderId="0" xfId="0" applyFont="1" applyFill="1" applyAlignment="1">
      <alignment horizontal="left" vertical="center" wrapText="1"/>
    </xf>
    <xf numFmtId="172" fontId="0" fillId="0" borderId="47" xfId="0" applyNumberFormat="1" applyBorder="1" applyAlignment="1">
      <alignment horizontal="left" wrapText="1"/>
    </xf>
    <xf numFmtId="2" fontId="0" fillId="0" borderId="47" xfId="0" applyNumberFormat="1" applyBorder="1" applyAlignment="1">
      <alignment horizontal="left" wrapText="1"/>
    </xf>
    <xf numFmtId="43" fontId="1" fillId="23" borderId="0" xfId="1" applyFont="1" applyFill="1" applyBorder="1" applyAlignment="1">
      <alignment horizontal="left"/>
    </xf>
    <xf numFmtId="0" fontId="47" fillId="0" borderId="47" xfId="0" applyFont="1" applyBorder="1"/>
    <xf numFmtId="164" fontId="0" fillId="42" borderId="47" xfId="1" applyNumberFormat="1" applyFont="1" applyFill="1" applyBorder="1" applyAlignment="1"/>
    <xf numFmtId="164" fontId="0" fillId="42" borderId="47" xfId="1" applyNumberFormat="1" applyFont="1" applyFill="1" applyBorder="1" applyAlignment="1">
      <alignment horizontal="left"/>
    </xf>
    <xf numFmtId="164" fontId="0" fillId="42" borderId="44" xfId="1" applyNumberFormat="1" applyFont="1" applyFill="1" applyBorder="1" applyAlignment="1">
      <alignment horizontal="left"/>
    </xf>
    <xf numFmtId="0" fontId="71" fillId="0" borderId="0" xfId="0" applyFont="1" applyAlignment="1">
      <alignment wrapText="1"/>
    </xf>
    <xf numFmtId="0" fontId="71" fillId="0" borderId="0" xfId="0" applyFont="1" applyAlignment="1">
      <alignment horizontal="center" wrapText="1"/>
    </xf>
    <xf numFmtId="0" fontId="0" fillId="23" borderId="0" xfId="0" applyFill="1" applyAlignment="1">
      <alignment horizontal="left" wrapText="1"/>
    </xf>
    <xf numFmtId="0" fontId="73" fillId="23" borderId="0" xfId="9" applyFont="1" applyFill="1" applyAlignment="1">
      <alignment horizontal="center"/>
    </xf>
    <xf numFmtId="43" fontId="0" fillId="42" borderId="60" xfId="1" applyFont="1" applyFill="1" applyBorder="1" applyAlignment="1" applyProtection="1">
      <alignment horizontal="left"/>
      <protection locked="0"/>
    </xf>
    <xf numFmtId="0" fontId="0" fillId="23" borderId="0" xfId="0" applyFill="1" applyAlignment="1" applyProtection="1">
      <alignment vertical="top" wrapText="1"/>
      <protection hidden="1"/>
    </xf>
    <xf numFmtId="0" fontId="54" fillId="23" borderId="0" xfId="9" applyFont="1" applyFill="1" applyAlignment="1" applyProtection="1">
      <alignment vertical="top" wrapText="1"/>
      <protection hidden="1"/>
    </xf>
    <xf numFmtId="0" fontId="48" fillId="23" borderId="0" xfId="9" applyFill="1" applyAlignment="1" applyProtection="1">
      <alignment vertical="top" wrapText="1"/>
      <protection hidden="1"/>
    </xf>
    <xf numFmtId="0" fontId="48" fillId="23" borderId="0" xfId="9" applyFill="1" applyBorder="1" applyAlignment="1" applyProtection="1">
      <alignment vertical="top" wrapText="1"/>
      <protection hidden="1"/>
    </xf>
    <xf numFmtId="0" fontId="84" fillId="23" borderId="0" xfId="0" applyFont="1" applyFill="1" applyAlignment="1" applyProtection="1">
      <alignment vertical="top" wrapText="1"/>
      <protection hidden="1"/>
    </xf>
    <xf numFmtId="0" fontId="82" fillId="23" borderId="0" xfId="0" applyFont="1" applyFill="1" applyAlignment="1" applyProtection="1">
      <alignment vertical="top" wrapText="1"/>
      <protection hidden="1"/>
    </xf>
    <xf numFmtId="0" fontId="82" fillId="0" borderId="0" xfId="0" applyFont="1" applyAlignment="1" applyProtection="1">
      <alignment vertical="top" wrapText="1"/>
      <protection hidden="1"/>
    </xf>
    <xf numFmtId="0" fontId="51" fillId="43" borderId="0" xfId="0" applyFont="1" applyFill="1" applyAlignment="1" applyProtection="1">
      <alignment vertical="top" wrapText="1"/>
      <protection hidden="1"/>
    </xf>
    <xf numFmtId="0" fontId="51" fillId="32" borderId="0" xfId="0" applyFont="1" applyFill="1" applyAlignment="1" applyProtection="1">
      <alignment vertical="top" wrapText="1"/>
      <protection hidden="1"/>
    </xf>
    <xf numFmtId="0" fontId="0" fillId="0" borderId="0" xfId="0" applyAlignment="1" applyProtection="1">
      <alignment vertical="top" wrapText="1"/>
      <protection hidden="1"/>
    </xf>
    <xf numFmtId="0" fontId="1" fillId="23" borderId="0" xfId="0" applyFont="1" applyFill="1" applyAlignment="1" applyProtection="1">
      <alignment vertical="top" wrapText="1"/>
      <protection hidden="1"/>
    </xf>
    <xf numFmtId="0" fontId="48" fillId="0" borderId="0" xfId="9" applyFill="1" applyAlignment="1" applyProtection="1">
      <alignment vertical="top" wrapText="1"/>
      <protection hidden="1"/>
    </xf>
    <xf numFmtId="0" fontId="62" fillId="23" borderId="0" xfId="0" applyFont="1" applyFill="1" applyAlignment="1" applyProtection="1">
      <alignment vertical="top" wrapText="1"/>
      <protection hidden="1"/>
    </xf>
    <xf numFmtId="0" fontId="80" fillId="23" borderId="0" xfId="0" applyFont="1" applyFill="1" applyAlignment="1" applyProtection="1">
      <alignment vertical="top" wrapText="1"/>
      <protection hidden="1"/>
    </xf>
    <xf numFmtId="0" fontId="81" fillId="23" borderId="0" xfId="0" applyFont="1" applyFill="1" applyAlignment="1" applyProtection="1">
      <alignment vertical="top" wrapText="1"/>
      <protection hidden="1"/>
    </xf>
    <xf numFmtId="1" fontId="0" fillId="23" borderId="47" xfId="0" applyNumberFormat="1" applyFill="1" applyBorder="1" applyAlignment="1" applyProtection="1">
      <alignment horizontal="center" vertical="top" wrapText="1"/>
      <protection hidden="1"/>
    </xf>
    <xf numFmtId="0" fontId="48" fillId="0" borderId="0" xfId="9" applyProtection="1"/>
    <xf numFmtId="0" fontId="0" fillId="0" borderId="0" xfId="0" applyProtection="1">
      <protection locked="0"/>
    </xf>
    <xf numFmtId="0" fontId="91" fillId="0" borderId="0" xfId="0" applyFont="1" applyProtection="1">
      <protection locked="0"/>
    </xf>
    <xf numFmtId="0" fontId="48" fillId="0" borderId="0" xfId="9" applyProtection="1">
      <protection locked="0"/>
    </xf>
    <xf numFmtId="0" fontId="48" fillId="0" borderId="0" xfId="9" applyProtection="1">
      <protection hidden="1"/>
    </xf>
    <xf numFmtId="0" fontId="49" fillId="23" borderId="0" xfId="0" applyFont="1" applyFill="1" applyAlignment="1" applyProtection="1">
      <alignment vertical="top" wrapText="1"/>
      <protection hidden="1"/>
    </xf>
    <xf numFmtId="0" fontId="50" fillId="23" borderId="0" xfId="0" applyFont="1" applyFill="1" applyAlignment="1" applyProtection="1">
      <alignment horizontal="left" vertical="top" wrapText="1"/>
      <protection hidden="1"/>
    </xf>
    <xf numFmtId="0" fontId="50" fillId="23" borderId="11" xfId="0" applyFont="1" applyFill="1" applyBorder="1" applyAlignment="1" applyProtection="1">
      <alignment horizontal="left" vertical="top" wrapText="1"/>
      <protection hidden="1"/>
    </xf>
    <xf numFmtId="0" fontId="34" fillId="43" borderId="0" xfId="0" applyFont="1" applyFill="1" applyAlignment="1" applyProtection="1">
      <alignment horizontal="left" vertical="top" wrapText="1"/>
      <protection hidden="1"/>
    </xf>
    <xf numFmtId="0" fontId="34" fillId="43" borderId="0" xfId="0" applyFont="1" applyFill="1" applyAlignment="1" applyProtection="1">
      <alignment vertical="top" wrapText="1"/>
      <protection hidden="1"/>
    </xf>
    <xf numFmtId="0" fontId="34" fillId="32" borderId="0" xfId="0" applyFont="1" applyFill="1" applyAlignment="1" applyProtection="1">
      <alignment horizontal="left" vertical="top" wrapText="1"/>
      <protection hidden="1"/>
    </xf>
    <xf numFmtId="0" fontId="59" fillId="32" borderId="0" xfId="0" applyFont="1" applyFill="1" applyAlignment="1" applyProtection="1">
      <alignment horizontal="left" vertical="top" wrapText="1"/>
      <protection hidden="1"/>
    </xf>
    <xf numFmtId="4" fontId="0" fillId="23" borderId="0" xfId="0" applyNumberFormat="1" applyFill="1" applyAlignment="1" applyProtection="1">
      <alignment vertical="top" wrapText="1"/>
      <protection hidden="1"/>
    </xf>
    <xf numFmtId="9" fontId="0" fillId="23" borderId="0" xfId="3" applyFont="1" applyFill="1" applyAlignment="1" applyProtection="1">
      <alignment vertical="top" wrapText="1"/>
      <protection hidden="1"/>
    </xf>
    <xf numFmtId="0" fontId="0" fillId="23" borderId="1" xfId="0" applyFill="1" applyBorder="1" applyAlignment="1" applyProtection="1">
      <alignment vertical="top" wrapText="1"/>
      <protection hidden="1"/>
    </xf>
    <xf numFmtId="4" fontId="0" fillId="23" borderId="1" xfId="0" applyNumberFormat="1" applyFill="1" applyBorder="1" applyAlignment="1" applyProtection="1">
      <alignment vertical="top" wrapText="1"/>
      <protection hidden="1"/>
    </xf>
    <xf numFmtId="9" fontId="0" fillId="23" borderId="1" xfId="3" applyFont="1" applyFill="1" applyBorder="1" applyAlignment="1" applyProtection="1">
      <alignment vertical="top" wrapText="1"/>
      <protection hidden="1"/>
    </xf>
    <xf numFmtId="0" fontId="63" fillId="23" borderId="0" xfId="0" applyFont="1" applyFill="1" applyAlignment="1" applyProtection="1">
      <alignment vertical="top" wrapText="1"/>
      <protection hidden="1"/>
    </xf>
    <xf numFmtId="3" fontId="0" fillId="23" borderId="0" xfId="0" applyNumberFormat="1" applyFill="1" applyAlignment="1" applyProtection="1">
      <alignment vertical="top" wrapText="1"/>
      <protection hidden="1"/>
    </xf>
    <xf numFmtId="3" fontId="59" fillId="32" borderId="0" xfId="0" applyNumberFormat="1" applyFont="1" applyFill="1" applyAlignment="1" applyProtection="1">
      <alignment horizontal="left" vertical="top" wrapText="1"/>
      <protection hidden="1"/>
    </xf>
    <xf numFmtId="0" fontId="47" fillId="23" borderId="0" xfId="0" applyFont="1" applyFill="1" applyAlignment="1" applyProtection="1">
      <alignment vertical="top" wrapText="1"/>
      <protection hidden="1"/>
    </xf>
    <xf numFmtId="9" fontId="0" fillId="23" borderId="0" xfId="3" applyFont="1" applyFill="1" applyAlignment="1" applyProtection="1">
      <alignment horizontal="right" vertical="top" wrapText="1"/>
      <protection hidden="1"/>
    </xf>
    <xf numFmtId="9" fontId="0" fillId="23" borderId="0" xfId="3" applyFont="1" applyFill="1" applyBorder="1" applyAlignment="1" applyProtection="1">
      <alignment vertical="top" wrapText="1"/>
      <protection hidden="1"/>
    </xf>
    <xf numFmtId="9" fontId="0" fillId="23" borderId="0" xfId="0" applyNumberFormat="1" applyFill="1" applyAlignment="1" applyProtection="1">
      <alignment vertical="top" wrapText="1"/>
      <protection hidden="1"/>
    </xf>
    <xf numFmtId="0" fontId="0" fillId="23" borderId="54" xfId="0" applyFill="1" applyBorder="1" applyAlignment="1" applyProtection="1">
      <alignment vertical="top" wrapText="1"/>
      <protection hidden="1"/>
    </xf>
    <xf numFmtId="3" fontId="0" fillId="23" borderId="1" xfId="0" applyNumberFormat="1" applyFill="1" applyBorder="1" applyAlignment="1" applyProtection="1">
      <alignment vertical="top" wrapText="1"/>
      <protection hidden="1"/>
    </xf>
    <xf numFmtId="9" fontId="0" fillId="23" borderId="54" xfId="3" applyFont="1" applyFill="1" applyBorder="1" applyAlignment="1" applyProtection="1">
      <alignment vertical="top" wrapText="1"/>
      <protection hidden="1"/>
    </xf>
    <xf numFmtId="0" fontId="1" fillId="23" borderId="7" xfId="0" applyFont="1" applyFill="1" applyBorder="1" applyAlignment="1" applyProtection="1">
      <alignment vertical="top" wrapText="1"/>
      <protection hidden="1"/>
    </xf>
    <xf numFmtId="3" fontId="1" fillId="23" borderId="7" xfId="0" applyNumberFormat="1" applyFont="1" applyFill="1" applyBorder="1" applyAlignment="1" applyProtection="1">
      <alignment vertical="top" wrapText="1"/>
      <protection hidden="1"/>
    </xf>
    <xf numFmtId="0" fontId="1" fillId="33" borderId="0" xfId="0" applyFont="1" applyFill="1" applyAlignment="1" applyProtection="1">
      <alignment vertical="top" wrapText="1"/>
      <protection hidden="1"/>
    </xf>
    <xf numFmtId="0" fontId="0" fillId="33" borderId="0" xfId="0" applyFill="1" applyAlignment="1" applyProtection="1">
      <alignment vertical="top" wrapText="1"/>
      <protection hidden="1"/>
    </xf>
    <xf numFmtId="0" fontId="59" fillId="23" borderId="0" xfId="0" applyFont="1" applyFill="1" applyAlignment="1" applyProtection="1">
      <alignment vertical="top" wrapText="1"/>
      <protection hidden="1"/>
    </xf>
    <xf numFmtId="3" fontId="59" fillId="23" borderId="0" xfId="0" applyNumberFormat="1" applyFont="1" applyFill="1" applyAlignment="1" applyProtection="1">
      <alignment vertical="top" wrapText="1"/>
      <protection hidden="1"/>
    </xf>
    <xf numFmtId="171" fontId="59" fillId="23" borderId="0" xfId="0" applyNumberFormat="1" applyFont="1" applyFill="1" applyAlignment="1" applyProtection="1">
      <alignment vertical="top" wrapText="1"/>
      <protection hidden="1"/>
    </xf>
    <xf numFmtId="0" fontId="48" fillId="0" borderId="0" xfId="9" applyProtection="1">
      <protection locked="0" hidden="1"/>
    </xf>
    <xf numFmtId="0" fontId="52" fillId="32" borderId="0" xfId="0" applyFont="1" applyFill="1" applyAlignment="1" applyProtection="1">
      <alignment horizontal="left" vertical="top" wrapText="1"/>
      <protection hidden="1"/>
    </xf>
    <xf numFmtId="9" fontId="0" fillId="0" borderId="0" xfId="3" applyFont="1" applyFill="1" applyAlignment="1" applyProtection="1">
      <alignment vertical="top" wrapText="1"/>
      <protection hidden="1"/>
    </xf>
    <xf numFmtId="3" fontId="0" fillId="0" borderId="0" xfId="0" applyNumberFormat="1" applyAlignment="1" applyProtection="1">
      <alignment vertical="top" wrapText="1"/>
      <protection hidden="1"/>
    </xf>
    <xf numFmtId="0" fontId="52" fillId="32" borderId="0" xfId="0" applyFont="1" applyFill="1" applyAlignment="1" applyProtection="1">
      <alignment vertical="top" wrapText="1"/>
      <protection hidden="1"/>
    </xf>
    <xf numFmtId="3" fontId="52" fillId="32" borderId="0" xfId="0" applyNumberFormat="1" applyFont="1" applyFill="1" applyAlignment="1" applyProtection="1">
      <alignment vertical="top" wrapText="1"/>
      <protection hidden="1"/>
    </xf>
    <xf numFmtId="0" fontId="0" fillId="23" borderId="53" xfId="0" applyFill="1" applyBorder="1" applyAlignment="1" applyProtection="1">
      <alignment vertical="top" wrapText="1"/>
      <protection hidden="1"/>
    </xf>
    <xf numFmtId="3" fontId="0" fillId="23" borderId="53" xfId="0" applyNumberFormat="1" applyFill="1" applyBorder="1" applyAlignment="1" applyProtection="1">
      <alignment vertical="top" wrapText="1"/>
      <protection hidden="1"/>
    </xf>
    <xf numFmtId="0" fontId="53" fillId="23" borderId="0" xfId="0" applyFont="1" applyFill="1" applyAlignment="1" applyProtection="1">
      <alignment vertical="top" wrapText="1"/>
      <protection hidden="1"/>
    </xf>
    <xf numFmtId="3" fontId="1" fillId="33" borderId="0" xfId="0" applyNumberFormat="1" applyFont="1" applyFill="1" applyAlignment="1" applyProtection="1">
      <alignment vertical="top" wrapText="1"/>
      <protection hidden="1"/>
    </xf>
    <xf numFmtId="3" fontId="1" fillId="0" borderId="0" xfId="0" applyNumberFormat="1" applyFont="1" applyAlignment="1" applyProtection="1">
      <alignment vertical="top" wrapText="1"/>
      <protection hidden="1"/>
    </xf>
    <xf numFmtId="9" fontId="1" fillId="0" borderId="0" xfId="3" applyFont="1" applyFill="1" applyAlignment="1" applyProtection="1">
      <alignment vertical="top" wrapText="1"/>
      <protection hidden="1"/>
    </xf>
    <xf numFmtId="3" fontId="0" fillId="42" borderId="0" xfId="0" applyNumberFormat="1" applyFill="1" applyAlignment="1" applyProtection="1">
      <alignment vertical="top" wrapText="1"/>
      <protection locked="0" hidden="1"/>
    </xf>
    <xf numFmtId="0" fontId="48" fillId="23" borderId="0" xfId="9" applyFill="1" applyAlignment="1">
      <alignment horizontal="left" vertical="center"/>
    </xf>
    <xf numFmtId="0" fontId="48" fillId="23" borderId="0" xfId="9" applyFill="1" applyAlignment="1" applyProtection="1">
      <alignment horizontal="left" vertical="center"/>
      <protection locked="0" hidden="1"/>
    </xf>
    <xf numFmtId="0" fontId="0" fillId="49" borderId="0" xfId="0" applyFill="1"/>
    <xf numFmtId="0" fontId="94" fillId="0" borderId="0" xfId="0" applyFont="1"/>
    <xf numFmtId="0" fontId="93" fillId="0" borderId="0" xfId="0" applyFont="1"/>
    <xf numFmtId="0" fontId="92" fillId="0" borderId="0" xfId="0" applyFont="1"/>
    <xf numFmtId="0" fontId="90" fillId="0" borderId="0" xfId="0" applyFont="1"/>
    <xf numFmtId="0" fontId="97" fillId="0" borderId="0" xfId="0" applyFont="1"/>
    <xf numFmtId="0" fontId="0" fillId="0" borderId="0" xfId="0" applyAlignment="1">
      <alignment horizontal="right"/>
    </xf>
    <xf numFmtId="172" fontId="96" fillId="0" borderId="0" xfId="0" quotePrefix="1" applyNumberFormat="1" applyFont="1" applyAlignment="1">
      <alignment horizontal="left"/>
    </xf>
    <xf numFmtId="0" fontId="0" fillId="0" borderId="0" xfId="0" applyProtection="1">
      <protection hidden="1"/>
    </xf>
    <xf numFmtId="0" fontId="0" fillId="23" borderId="0" xfId="0" applyFill="1" applyAlignment="1" applyProtection="1">
      <alignment horizontal="center" vertical="top" wrapText="1"/>
      <protection hidden="1"/>
    </xf>
    <xf numFmtId="0" fontId="35" fillId="23" borderId="0" xfId="0" applyFont="1" applyFill="1" applyAlignment="1" applyProtection="1">
      <alignment vertical="top" wrapText="1"/>
      <protection hidden="1"/>
    </xf>
    <xf numFmtId="0" fontId="35" fillId="23" borderId="0" xfId="0" applyFont="1" applyFill="1" applyAlignment="1" applyProtection="1">
      <alignment horizontal="left" vertical="top" wrapText="1"/>
      <protection hidden="1"/>
    </xf>
    <xf numFmtId="0" fontId="35" fillId="23" borderId="0" xfId="0" applyFont="1" applyFill="1" applyAlignment="1" applyProtection="1">
      <alignment horizontal="center" vertical="top" wrapText="1"/>
      <protection hidden="1"/>
    </xf>
    <xf numFmtId="0" fontId="1" fillId="42" borderId="44" xfId="0" applyFont="1" applyFill="1" applyBorder="1" applyAlignment="1" applyProtection="1">
      <alignment horizontal="center" vertical="top" wrapText="1"/>
      <protection hidden="1"/>
    </xf>
    <xf numFmtId="0" fontId="1" fillId="23" borderId="47" xfId="0" applyFont="1" applyFill="1" applyBorder="1" applyAlignment="1" applyProtection="1">
      <alignment horizontal="center" vertical="top" wrapText="1"/>
      <protection hidden="1"/>
    </xf>
    <xf numFmtId="0" fontId="1" fillId="23" borderId="45" xfId="0" applyFont="1" applyFill="1" applyBorder="1" applyAlignment="1" applyProtection="1">
      <alignment vertical="top" wrapText="1"/>
      <protection hidden="1"/>
    </xf>
    <xf numFmtId="0" fontId="1" fillId="23" borderId="0" xfId="0" applyFont="1" applyFill="1" applyAlignment="1" applyProtection="1">
      <alignment horizontal="left" vertical="top" wrapText="1"/>
      <protection hidden="1"/>
    </xf>
    <xf numFmtId="0" fontId="70" fillId="33" borderId="1" xfId="0" applyFont="1" applyFill="1" applyBorder="1" applyAlignment="1" applyProtection="1">
      <alignment vertical="top" wrapText="1"/>
      <protection hidden="1"/>
    </xf>
    <xf numFmtId="0" fontId="70" fillId="33" borderId="1" xfId="0" applyFont="1" applyFill="1" applyBorder="1" applyAlignment="1" applyProtection="1">
      <alignment horizontal="center" vertical="top" wrapText="1"/>
      <protection hidden="1"/>
    </xf>
    <xf numFmtId="0" fontId="0" fillId="42" borderId="47" xfId="0" applyFill="1" applyBorder="1" applyAlignment="1" applyProtection="1">
      <alignment horizontal="center" vertical="top" wrapText="1"/>
      <protection hidden="1"/>
    </xf>
    <xf numFmtId="0" fontId="53" fillId="0" borderId="44" xfId="0" applyFont="1" applyBorder="1" applyAlignment="1" applyProtection="1">
      <alignment horizontal="center" vertical="top" wrapText="1"/>
      <protection hidden="1"/>
    </xf>
    <xf numFmtId="0" fontId="53" fillId="23" borderId="72" xfId="0" applyFont="1" applyFill="1" applyBorder="1" applyAlignment="1" applyProtection="1">
      <alignment vertical="top" wrapText="1"/>
      <protection hidden="1"/>
    </xf>
    <xf numFmtId="2" fontId="0" fillId="23" borderId="0" xfId="0" applyNumberFormat="1" applyFill="1" applyAlignment="1" applyProtection="1">
      <alignment horizontal="center" vertical="top" wrapText="1"/>
      <protection hidden="1"/>
    </xf>
    <xf numFmtId="0" fontId="53" fillId="0" borderId="0" xfId="0" applyFont="1" applyAlignment="1" applyProtection="1">
      <alignment horizontal="center" vertical="top" wrapText="1"/>
      <protection hidden="1"/>
    </xf>
    <xf numFmtId="0" fontId="53" fillId="23" borderId="0" xfId="0" applyFont="1" applyFill="1" applyAlignment="1" applyProtection="1">
      <alignment horizontal="left" vertical="top" wrapText="1"/>
      <protection hidden="1"/>
    </xf>
    <xf numFmtId="0" fontId="61" fillId="23" borderId="72" xfId="0" applyFont="1" applyFill="1" applyBorder="1" applyAlignment="1" applyProtection="1">
      <alignment vertical="top" wrapText="1"/>
      <protection hidden="1"/>
    </xf>
    <xf numFmtId="0" fontId="0" fillId="0" borderId="0" xfId="0" applyAlignment="1" applyProtection="1">
      <alignment horizontal="center" vertical="top" wrapText="1"/>
      <protection hidden="1"/>
    </xf>
    <xf numFmtId="0" fontId="0" fillId="0" borderId="44" xfId="0" applyBorder="1" applyAlignment="1" applyProtection="1">
      <alignment horizontal="center" vertical="top" wrapText="1"/>
      <protection hidden="1"/>
    </xf>
    <xf numFmtId="0" fontId="78" fillId="23" borderId="0" xfId="0" applyFont="1" applyFill="1" applyAlignment="1" applyProtection="1">
      <alignment vertical="top" wrapText="1"/>
      <protection hidden="1"/>
    </xf>
    <xf numFmtId="0" fontId="35" fillId="0" borderId="0" xfId="0" applyFont="1" applyAlignment="1" applyProtection="1">
      <alignment vertical="top" wrapText="1"/>
      <protection hidden="1"/>
    </xf>
    <xf numFmtId="0" fontId="0" fillId="0" borderId="47" xfId="0" applyBorder="1" applyAlignment="1" applyProtection="1">
      <alignment horizontal="center" vertical="top" wrapText="1"/>
      <protection hidden="1"/>
    </xf>
    <xf numFmtId="0" fontId="53" fillId="0" borderId="47" xfId="0" applyFont="1" applyBorder="1" applyAlignment="1" applyProtection="1">
      <alignment horizontal="center" vertical="top" wrapText="1"/>
      <protection hidden="1"/>
    </xf>
    <xf numFmtId="0" fontId="53" fillId="0" borderId="0" xfId="0" applyFont="1" applyAlignment="1" applyProtection="1">
      <alignment vertical="top" wrapText="1"/>
      <protection hidden="1"/>
    </xf>
    <xf numFmtId="1" fontId="0" fillId="0" borderId="47" xfId="3" applyNumberFormat="1" applyFont="1" applyFill="1" applyBorder="1" applyAlignment="1" applyProtection="1">
      <alignment horizontal="center" vertical="top" wrapText="1"/>
      <protection hidden="1"/>
    </xf>
    <xf numFmtId="0" fontId="47" fillId="0" borderId="47" xfId="0" applyFont="1" applyBorder="1" applyAlignment="1" applyProtection="1">
      <alignment horizontal="center" vertical="top" wrapText="1"/>
      <protection hidden="1"/>
    </xf>
    <xf numFmtId="0" fontId="55" fillId="23" borderId="0" xfId="0" applyFont="1" applyFill="1" applyAlignment="1" applyProtection="1">
      <alignment vertical="top" wrapText="1"/>
      <protection hidden="1"/>
    </xf>
    <xf numFmtId="0" fontId="0" fillId="23" borderId="44" xfId="0" applyFill="1" applyBorder="1" applyAlignment="1" applyProtection="1">
      <alignment horizontal="center" vertical="top" wrapText="1"/>
      <protection hidden="1"/>
    </xf>
    <xf numFmtId="0" fontId="61" fillId="23" borderId="0" xfId="0" applyFont="1" applyFill="1" applyAlignment="1" applyProtection="1">
      <alignment vertical="top" wrapText="1"/>
      <protection hidden="1"/>
    </xf>
    <xf numFmtId="0" fontId="0" fillId="23" borderId="47" xfId="0" applyFill="1" applyBorder="1" applyAlignment="1" applyProtection="1">
      <alignment horizontal="center" vertical="top" wrapText="1"/>
      <protection hidden="1"/>
    </xf>
    <xf numFmtId="0" fontId="0" fillId="23" borderId="47" xfId="0" applyFill="1" applyBorder="1" applyAlignment="1" applyProtection="1">
      <alignment vertical="top" wrapText="1"/>
      <protection hidden="1"/>
    </xf>
    <xf numFmtId="0" fontId="0" fillId="42" borderId="47" xfId="0" applyFill="1" applyBorder="1" applyAlignment="1" applyProtection="1">
      <alignment horizontal="center" vertical="top" wrapText="1"/>
      <protection locked="0" hidden="1"/>
    </xf>
    <xf numFmtId="2" fontId="0" fillId="42" borderId="47" xfId="3" applyNumberFormat="1" applyFont="1" applyFill="1" applyBorder="1" applyAlignment="1" applyProtection="1">
      <alignment horizontal="center" vertical="top" wrapText="1"/>
      <protection locked="0" hidden="1"/>
    </xf>
    <xf numFmtId="1" fontId="0" fillId="42" borderId="47" xfId="3" applyNumberFormat="1" applyFont="1" applyFill="1" applyBorder="1" applyAlignment="1" applyProtection="1">
      <alignment horizontal="center" vertical="top" wrapText="1"/>
      <protection locked="0" hidden="1"/>
    </xf>
    <xf numFmtId="0" fontId="0" fillId="42" borderId="47" xfId="3" applyNumberFormat="1" applyFont="1" applyFill="1" applyBorder="1" applyAlignment="1" applyProtection="1">
      <alignment horizontal="center" vertical="top" wrapText="1"/>
      <protection locked="0" hidden="1"/>
    </xf>
    <xf numFmtId="1" fontId="0" fillId="42" borderId="51" xfId="3" applyNumberFormat="1" applyFont="1" applyFill="1" applyBorder="1" applyAlignment="1" applyProtection="1">
      <alignment horizontal="center" vertical="top" wrapText="1"/>
      <protection locked="0" hidden="1"/>
    </xf>
    <xf numFmtId="3" fontId="0" fillId="42" borderId="47" xfId="3" applyNumberFormat="1" applyFont="1" applyFill="1" applyBorder="1" applyAlignment="1" applyProtection="1">
      <alignment horizontal="center" vertical="top" wrapText="1"/>
      <protection locked="0" hidden="1"/>
    </xf>
    <xf numFmtId="3" fontId="0" fillId="0" borderId="47" xfId="3" applyNumberFormat="1" applyFont="1" applyFill="1" applyBorder="1" applyAlignment="1" applyProtection="1">
      <alignment horizontal="center" vertical="top" wrapText="1"/>
      <protection locked="0" hidden="1"/>
    </xf>
    <xf numFmtId="9" fontId="0" fillId="0" borderId="47" xfId="0" applyNumberFormat="1" applyBorder="1" applyAlignment="1" applyProtection="1">
      <alignment horizontal="center" vertical="top" wrapText="1"/>
      <protection locked="0" hidden="1"/>
    </xf>
    <xf numFmtId="0" fontId="1" fillId="42" borderId="47" xfId="0" applyFont="1" applyFill="1" applyBorder="1" applyAlignment="1" applyProtection="1">
      <alignment horizontal="center" vertical="top" wrapText="1"/>
      <protection hidden="1"/>
    </xf>
    <xf numFmtId="0" fontId="1" fillId="23" borderId="47" xfId="0" applyFont="1" applyFill="1" applyBorder="1" applyAlignment="1" applyProtection="1">
      <alignment vertical="top" wrapText="1"/>
      <protection hidden="1"/>
    </xf>
    <xf numFmtId="0" fontId="1" fillId="33" borderId="1" xfId="0" applyFont="1" applyFill="1" applyBorder="1" applyAlignment="1" applyProtection="1">
      <alignment horizontal="center" vertical="top" wrapText="1"/>
      <protection hidden="1"/>
    </xf>
    <xf numFmtId="0" fontId="56" fillId="33" borderId="1" xfId="0" applyFont="1" applyFill="1" applyBorder="1" applyAlignment="1" applyProtection="1">
      <alignment vertical="top" wrapText="1"/>
      <protection hidden="1"/>
    </xf>
    <xf numFmtId="0" fontId="0" fillId="33" borderId="1" xfId="0" applyFill="1" applyBorder="1" applyAlignment="1" applyProtection="1">
      <alignment vertical="top" wrapText="1"/>
      <protection hidden="1"/>
    </xf>
    <xf numFmtId="0" fontId="71" fillId="0" borderId="0" xfId="0" applyFont="1" applyAlignment="1" applyProtection="1">
      <alignment horizontal="center" vertical="top" wrapText="1"/>
      <protection hidden="1"/>
    </xf>
    <xf numFmtId="0" fontId="0" fillId="33" borderId="1" xfId="0" applyFill="1" applyBorder="1" applyAlignment="1" applyProtection="1">
      <alignment horizontal="center" vertical="top" wrapText="1"/>
      <protection hidden="1"/>
    </xf>
    <xf numFmtId="0" fontId="53" fillId="33" borderId="1" xfId="0" applyFont="1" applyFill="1" applyBorder="1" applyAlignment="1" applyProtection="1">
      <alignment vertical="top" wrapText="1"/>
      <protection hidden="1"/>
    </xf>
    <xf numFmtId="0" fontId="54" fillId="0" borderId="1" xfId="9" applyFont="1" applyFill="1" applyBorder="1" applyAlignment="1" applyProtection="1">
      <alignment vertical="top" wrapText="1"/>
      <protection hidden="1"/>
    </xf>
    <xf numFmtId="0" fontId="0" fillId="0" borderId="0" xfId="0" quotePrefix="1" applyAlignment="1" applyProtection="1">
      <alignment vertical="top" wrapText="1"/>
      <protection hidden="1"/>
    </xf>
    <xf numFmtId="9" fontId="48" fillId="0" borderId="47" xfId="9" applyNumberFormat="1" applyFill="1" applyBorder="1" applyAlignment="1" applyProtection="1">
      <alignment horizontal="center" vertical="top" wrapText="1"/>
      <protection hidden="1"/>
    </xf>
    <xf numFmtId="0" fontId="53" fillId="23" borderId="47" xfId="0" applyFont="1" applyFill="1" applyBorder="1" applyAlignment="1" applyProtection="1">
      <alignment vertical="top" wrapText="1"/>
      <protection hidden="1"/>
    </xf>
    <xf numFmtId="0" fontId="66" fillId="23" borderId="0" xfId="0" applyFont="1" applyFill="1" applyAlignment="1" applyProtection="1">
      <alignment vertical="top" wrapText="1"/>
      <protection hidden="1"/>
    </xf>
    <xf numFmtId="2" fontId="0" fillId="0" borderId="47" xfId="0" applyNumberFormat="1" applyBorder="1" applyAlignment="1" applyProtection="1">
      <alignment horizontal="center" vertical="top" wrapText="1"/>
      <protection hidden="1"/>
    </xf>
    <xf numFmtId="0" fontId="52" fillId="23" borderId="0" xfId="0" applyFont="1" applyFill="1" applyAlignment="1" applyProtection="1">
      <alignment horizontal="left" vertical="top" wrapText="1"/>
      <protection hidden="1"/>
    </xf>
    <xf numFmtId="3" fontId="0" fillId="0" borderId="47" xfId="3" applyNumberFormat="1" applyFont="1" applyFill="1" applyBorder="1" applyAlignment="1" applyProtection="1">
      <alignment horizontal="center" vertical="top" wrapText="1"/>
      <protection hidden="1"/>
    </xf>
    <xf numFmtId="9" fontId="35" fillId="0" borderId="47" xfId="9" applyNumberFormat="1" applyFont="1" applyFill="1" applyBorder="1" applyAlignment="1" applyProtection="1">
      <alignment horizontal="center" vertical="top" wrapText="1"/>
      <protection hidden="1"/>
    </xf>
    <xf numFmtId="0" fontId="53" fillId="23" borderId="48" xfId="0" applyFont="1" applyFill="1" applyBorder="1" applyAlignment="1" applyProtection="1">
      <alignment vertical="top" wrapText="1"/>
      <protection hidden="1"/>
    </xf>
    <xf numFmtId="43" fontId="47" fillId="23" borderId="0" xfId="1" applyFont="1" applyFill="1" applyAlignment="1" applyProtection="1">
      <alignment horizontal="center" vertical="top" wrapText="1"/>
      <protection hidden="1"/>
    </xf>
    <xf numFmtId="9" fontId="0" fillId="0" borderId="47" xfId="0" applyNumberFormat="1" applyBorder="1" applyAlignment="1" applyProtection="1">
      <alignment horizontal="center" vertical="top" wrapText="1"/>
      <protection hidden="1"/>
    </xf>
    <xf numFmtId="170" fontId="0" fillId="23" borderId="0" xfId="0" applyNumberFormat="1" applyFill="1" applyAlignment="1" applyProtection="1">
      <alignment horizontal="center" vertical="top" wrapText="1"/>
      <protection hidden="1"/>
    </xf>
    <xf numFmtId="0" fontId="53" fillId="33" borderId="1" xfId="0" applyFont="1" applyFill="1" applyBorder="1" applyAlignment="1" applyProtection="1">
      <alignment horizontal="center" vertical="top" wrapText="1"/>
      <protection hidden="1"/>
    </xf>
    <xf numFmtId="172" fontId="0" fillId="0" borderId="47" xfId="0" applyNumberFormat="1" applyBorder="1" applyAlignment="1" applyProtection="1">
      <alignment horizontal="center" vertical="top" wrapText="1"/>
      <protection hidden="1"/>
    </xf>
    <xf numFmtId="43" fontId="0" fillId="23" borderId="0" xfId="1" applyFont="1" applyFill="1" applyAlignment="1" applyProtection="1">
      <alignment horizontal="center" vertical="top" wrapText="1"/>
      <protection hidden="1"/>
    </xf>
    <xf numFmtId="0" fontId="53" fillId="33" borderId="0" xfId="0" applyFont="1" applyFill="1" applyAlignment="1" applyProtection="1">
      <alignment vertical="top" wrapText="1"/>
      <protection hidden="1"/>
    </xf>
    <xf numFmtId="4" fontId="0" fillId="42" borderId="47" xfId="3" applyNumberFormat="1" applyFont="1" applyFill="1" applyBorder="1" applyAlignment="1" applyProtection="1">
      <alignment horizontal="center" vertical="top" wrapText="1"/>
      <protection locked="0" hidden="1"/>
    </xf>
    <xf numFmtId="0" fontId="53" fillId="0" borderId="44" xfId="0" applyFont="1" applyBorder="1" applyAlignment="1" applyProtection="1">
      <alignment horizontal="left" vertical="top" wrapText="1"/>
      <protection hidden="1"/>
    </xf>
    <xf numFmtId="0" fontId="79" fillId="23" borderId="0" xfId="0" applyFont="1" applyFill="1" applyAlignment="1" applyProtection="1">
      <alignment horizontal="left" vertical="top" wrapText="1"/>
      <protection hidden="1"/>
    </xf>
    <xf numFmtId="4" fontId="0" fillId="0" borderId="44" xfId="3" applyNumberFormat="1" applyFont="1" applyFill="1" applyBorder="1" applyAlignment="1" applyProtection="1">
      <alignment horizontal="center" vertical="top" wrapText="1"/>
      <protection hidden="1"/>
    </xf>
    <xf numFmtId="164" fontId="0" fillId="23" borderId="0" xfId="1" applyNumberFormat="1" applyFont="1" applyFill="1" applyAlignment="1" applyProtection="1">
      <alignment vertical="top" wrapText="1"/>
      <protection hidden="1"/>
    </xf>
    <xf numFmtId="4" fontId="0" fillId="0" borderId="25" xfId="3" applyNumberFormat="1" applyFont="1" applyFill="1" applyBorder="1" applyAlignment="1" applyProtection="1">
      <alignment horizontal="center" vertical="top" wrapText="1"/>
      <protection hidden="1"/>
    </xf>
    <xf numFmtId="164" fontId="0" fillId="0" borderId="25" xfId="1" applyNumberFormat="1" applyFont="1" applyFill="1" applyBorder="1" applyAlignment="1" applyProtection="1">
      <alignment vertical="top" wrapText="1"/>
      <protection hidden="1"/>
    </xf>
    <xf numFmtId="164" fontId="0" fillId="0" borderId="44" xfId="1" applyNumberFormat="1" applyFont="1" applyFill="1" applyBorder="1" applyAlignment="1" applyProtection="1">
      <alignment vertical="top" wrapText="1"/>
      <protection hidden="1"/>
    </xf>
    <xf numFmtId="43" fontId="0" fillId="23" borderId="0" xfId="0" applyNumberFormat="1" applyFill="1" applyAlignment="1" applyProtection="1">
      <alignment vertical="top" wrapText="1"/>
      <protection hidden="1"/>
    </xf>
    <xf numFmtId="43" fontId="47" fillId="23" borderId="0" xfId="1" applyFont="1" applyFill="1" applyBorder="1" applyAlignment="1" applyProtection="1">
      <alignment horizontal="center" vertical="top" wrapText="1"/>
      <protection hidden="1"/>
    </xf>
    <xf numFmtId="164" fontId="0" fillId="0" borderId="0" xfId="1" applyNumberFormat="1" applyFont="1" applyFill="1" applyAlignment="1" applyProtection="1">
      <alignment vertical="top" wrapText="1"/>
      <protection hidden="1"/>
    </xf>
    <xf numFmtId="4" fontId="0" fillId="0" borderId="47" xfId="3" applyNumberFormat="1" applyFont="1" applyFill="1" applyBorder="1" applyAlignment="1" applyProtection="1">
      <alignment horizontal="center" vertical="top" wrapText="1"/>
      <protection hidden="1"/>
    </xf>
    <xf numFmtId="43" fontId="0" fillId="23" borderId="0" xfId="1" applyFont="1" applyFill="1" applyBorder="1" applyAlignment="1" applyProtection="1">
      <alignment horizontal="center" vertical="top" wrapText="1"/>
      <protection hidden="1"/>
    </xf>
    <xf numFmtId="43" fontId="58" fillId="23" borderId="0" xfId="1" applyFont="1" applyFill="1" applyBorder="1" applyAlignment="1" applyProtection="1">
      <alignment horizontal="center" vertical="top" wrapText="1"/>
      <protection hidden="1"/>
    </xf>
    <xf numFmtId="0" fontId="58" fillId="0" borderId="0" xfId="0" applyFont="1" applyAlignment="1" applyProtection="1">
      <alignment vertical="top" wrapText="1"/>
      <protection hidden="1"/>
    </xf>
    <xf numFmtId="0" fontId="87" fillId="23" borderId="0" xfId="0" applyFont="1" applyFill="1" applyAlignment="1" applyProtection="1">
      <alignment horizontal="left" vertical="top" wrapText="1"/>
      <protection hidden="1"/>
    </xf>
    <xf numFmtId="4" fontId="0" fillId="0" borderId="1" xfId="3" applyNumberFormat="1" applyFont="1" applyFill="1" applyBorder="1" applyAlignment="1" applyProtection="1">
      <alignment horizontal="center" vertical="top" wrapText="1"/>
      <protection hidden="1"/>
    </xf>
    <xf numFmtId="164" fontId="0" fillId="0" borderId="1" xfId="1" applyNumberFormat="1" applyFont="1" applyFill="1" applyBorder="1" applyAlignment="1" applyProtection="1">
      <alignment vertical="top" wrapText="1"/>
      <protection hidden="1"/>
    </xf>
    <xf numFmtId="0" fontId="53" fillId="0" borderId="44" xfId="0" applyFont="1" applyBorder="1" applyAlignment="1" applyProtection="1">
      <alignment vertical="top" wrapText="1"/>
      <protection hidden="1"/>
    </xf>
    <xf numFmtId="164" fontId="0" fillId="0" borderId="0" xfId="0" applyNumberFormat="1" applyAlignment="1" applyProtection="1">
      <alignment vertical="top" wrapText="1"/>
      <protection hidden="1"/>
    </xf>
    <xf numFmtId="0" fontId="79" fillId="23" borderId="0" xfId="0" applyFont="1" applyFill="1" applyAlignment="1" applyProtection="1">
      <alignment vertical="top" wrapText="1"/>
      <protection hidden="1"/>
    </xf>
    <xf numFmtId="3" fontId="0" fillId="0" borderId="44" xfId="3" applyNumberFormat="1" applyFont="1" applyFill="1" applyBorder="1" applyAlignment="1" applyProtection="1">
      <alignment horizontal="center" vertical="top" wrapText="1"/>
      <protection hidden="1"/>
    </xf>
    <xf numFmtId="4" fontId="0" fillId="0" borderId="0" xfId="0" applyNumberFormat="1" applyAlignment="1" applyProtection="1">
      <alignment vertical="top" wrapText="1"/>
      <protection hidden="1"/>
    </xf>
    <xf numFmtId="3" fontId="0" fillId="23" borderId="0" xfId="1" applyNumberFormat="1" applyFont="1" applyFill="1" applyBorder="1" applyAlignment="1" applyProtection="1">
      <alignment horizontal="center" vertical="top" wrapText="1"/>
      <protection hidden="1"/>
    </xf>
    <xf numFmtId="3" fontId="0" fillId="0" borderId="1" xfId="3" applyNumberFormat="1" applyFont="1" applyFill="1" applyBorder="1" applyAlignment="1" applyProtection="1">
      <alignment horizontal="center" vertical="top" wrapText="1"/>
      <protection hidden="1"/>
    </xf>
    <xf numFmtId="0" fontId="53" fillId="0" borderId="1" xfId="0" applyFont="1" applyBorder="1" applyAlignment="1" applyProtection="1">
      <alignment vertical="top" wrapText="1"/>
      <protection hidden="1"/>
    </xf>
    <xf numFmtId="170" fontId="0" fillId="23" borderId="0" xfId="0" applyNumberFormat="1" applyFill="1" applyAlignment="1" applyProtection="1">
      <alignment vertical="top" wrapText="1"/>
      <protection hidden="1"/>
    </xf>
    <xf numFmtId="170" fontId="53" fillId="23" borderId="0" xfId="0" applyNumberFormat="1" applyFont="1" applyFill="1" applyAlignment="1" applyProtection="1">
      <alignment vertical="top" wrapText="1"/>
      <protection hidden="1"/>
    </xf>
    <xf numFmtId="0" fontId="35" fillId="33" borderId="1" xfId="0" applyFont="1" applyFill="1" applyBorder="1" applyAlignment="1" applyProtection="1">
      <alignment horizontal="left" vertical="top" wrapText="1"/>
      <protection hidden="1"/>
    </xf>
    <xf numFmtId="9" fontId="48" fillId="0" borderId="44" xfId="9" applyNumberFormat="1" applyFill="1" applyBorder="1" applyAlignment="1" applyProtection="1">
      <alignment vertical="top" wrapText="1"/>
      <protection hidden="1"/>
    </xf>
    <xf numFmtId="3" fontId="0" fillId="0" borderId="25" xfId="3" applyNumberFormat="1" applyFont="1" applyFill="1" applyBorder="1" applyAlignment="1" applyProtection="1">
      <alignment horizontal="center" vertical="top" wrapText="1"/>
      <protection hidden="1"/>
    </xf>
    <xf numFmtId="0" fontId="77" fillId="6" borderId="0" xfId="0" applyFont="1" applyFill="1" applyAlignment="1" applyProtection="1">
      <alignment vertical="top" wrapText="1"/>
      <protection hidden="1"/>
    </xf>
    <xf numFmtId="164" fontId="0" fillId="0" borderId="0" xfId="1" applyNumberFormat="1" applyFont="1" applyAlignment="1" applyProtection="1">
      <alignment vertical="top" wrapText="1"/>
      <protection hidden="1"/>
    </xf>
    <xf numFmtId="0" fontId="61" fillId="0" borderId="1" xfId="0" applyFont="1" applyBorder="1" applyAlignment="1" applyProtection="1">
      <alignment vertical="top" wrapText="1"/>
      <protection hidden="1"/>
    </xf>
    <xf numFmtId="0" fontId="53" fillId="0" borderId="25" xfId="0" applyFont="1" applyBorder="1" applyAlignment="1" applyProtection="1">
      <alignment vertical="top" wrapText="1"/>
      <protection hidden="1"/>
    </xf>
    <xf numFmtId="3" fontId="0" fillId="23" borderId="0" xfId="0" applyNumberFormat="1" applyFill="1" applyAlignment="1" applyProtection="1">
      <alignment horizontal="center" vertical="top" wrapText="1"/>
      <protection hidden="1"/>
    </xf>
    <xf numFmtId="3" fontId="0" fillId="33" borderId="1" xfId="0" applyNumberFormat="1" applyFill="1" applyBorder="1" applyAlignment="1" applyProtection="1">
      <alignment horizontal="center" vertical="top" wrapText="1"/>
      <protection hidden="1"/>
    </xf>
    <xf numFmtId="3" fontId="0" fillId="42" borderId="48" xfId="3" applyNumberFormat="1" applyFont="1" applyFill="1" applyBorder="1" applyAlignment="1" applyProtection="1">
      <alignment horizontal="center" vertical="top" wrapText="1"/>
      <protection locked="0" hidden="1"/>
    </xf>
    <xf numFmtId="4" fontId="0" fillId="0" borderId="69" xfId="3" applyNumberFormat="1" applyFont="1" applyFill="1" applyBorder="1" applyAlignment="1" applyProtection="1">
      <alignment horizontal="center" vertical="top" wrapText="1"/>
      <protection hidden="1"/>
    </xf>
    <xf numFmtId="0" fontId="52" fillId="0" borderId="0" xfId="0" applyFont="1" applyAlignment="1" applyProtection="1">
      <alignment horizontal="left" vertical="top" wrapText="1"/>
      <protection hidden="1"/>
    </xf>
    <xf numFmtId="0" fontId="61" fillId="0" borderId="0" xfId="0" applyFont="1" applyAlignment="1" applyProtection="1">
      <alignment vertical="top" wrapText="1"/>
      <protection hidden="1"/>
    </xf>
    <xf numFmtId="0" fontId="35" fillId="0" borderId="0" xfId="0" applyFont="1" applyAlignment="1" applyProtection="1">
      <alignment horizontal="left" vertical="top" wrapText="1"/>
      <protection hidden="1"/>
    </xf>
    <xf numFmtId="0" fontId="0" fillId="0" borderId="1" xfId="0" applyBorder="1" applyAlignment="1" applyProtection="1">
      <alignment horizontal="center" vertical="top" wrapText="1"/>
      <protection hidden="1"/>
    </xf>
    <xf numFmtId="9" fontId="48" fillId="0" borderId="25" xfId="9" applyNumberFormat="1" applyFill="1" applyBorder="1" applyAlignment="1" applyProtection="1">
      <alignment vertical="top" wrapText="1"/>
      <protection hidden="1"/>
    </xf>
    <xf numFmtId="0" fontId="77" fillId="0" borderId="0" xfId="0" applyFont="1" applyAlignment="1" applyProtection="1">
      <alignment vertical="top" wrapText="1"/>
      <protection hidden="1"/>
    </xf>
    <xf numFmtId="44" fontId="0" fillId="23" borderId="0" xfId="2" applyFont="1" applyFill="1" applyAlignment="1" applyProtection="1">
      <alignment vertical="top" wrapText="1"/>
      <protection hidden="1"/>
    </xf>
    <xf numFmtId="44" fontId="0" fillId="23" borderId="0" xfId="0" applyNumberFormat="1" applyFill="1" applyAlignment="1" applyProtection="1">
      <alignment vertical="top" wrapText="1"/>
      <protection hidden="1"/>
    </xf>
    <xf numFmtId="3" fontId="0" fillId="0" borderId="0" xfId="3" applyNumberFormat="1" applyFont="1" applyFill="1" applyBorder="1" applyAlignment="1" applyProtection="1">
      <alignment horizontal="center" vertical="top" wrapText="1"/>
      <protection hidden="1"/>
    </xf>
    <xf numFmtId="164" fontId="0" fillId="0" borderId="0" xfId="1" applyNumberFormat="1" applyFont="1" applyFill="1" applyBorder="1" applyAlignment="1" applyProtection="1">
      <alignment horizontal="center" vertical="top" wrapText="1"/>
      <protection hidden="1"/>
    </xf>
    <xf numFmtId="0" fontId="53" fillId="0" borderId="47" xfId="0" applyFont="1" applyBorder="1" applyAlignment="1" applyProtection="1">
      <alignment vertical="top" wrapText="1"/>
      <protection hidden="1"/>
    </xf>
    <xf numFmtId="4" fontId="0" fillId="0" borderId="0" xfId="3" applyNumberFormat="1" applyFont="1" applyFill="1" applyBorder="1" applyAlignment="1" applyProtection="1">
      <alignment horizontal="center" vertical="top" wrapText="1"/>
      <protection hidden="1"/>
    </xf>
    <xf numFmtId="43" fontId="0" fillId="23" borderId="0" xfId="1" applyFont="1" applyFill="1" applyAlignment="1" applyProtection="1">
      <alignment vertical="top" wrapText="1"/>
      <protection hidden="1"/>
    </xf>
    <xf numFmtId="2" fontId="0" fillId="0" borderId="25" xfId="0" applyNumberFormat="1" applyBorder="1" applyAlignment="1" applyProtection="1">
      <alignment horizontal="center" vertical="top" wrapText="1"/>
      <protection hidden="1"/>
    </xf>
    <xf numFmtId="0" fontId="54" fillId="0" borderId="0" xfId="9" applyFont="1" applyFill="1" applyAlignment="1" applyProtection="1">
      <alignment vertical="top" wrapText="1"/>
      <protection hidden="1"/>
    </xf>
    <xf numFmtId="2" fontId="0" fillId="0" borderId="45" xfId="0" applyNumberFormat="1" applyBorder="1" applyAlignment="1" applyProtection="1">
      <alignment horizontal="center" vertical="top" wrapText="1"/>
      <protection hidden="1"/>
    </xf>
    <xf numFmtId="0" fontId="53" fillId="23" borderId="76" xfId="0" applyFont="1" applyFill="1" applyBorder="1" applyAlignment="1" applyProtection="1">
      <alignment vertical="top" wrapText="1"/>
      <protection hidden="1"/>
    </xf>
    <xf numFmtId="9" fontId="0" fillId="0" borderId="45" xfId="0" applyNumberFormat="1" applyBorder="1" applyAlignment="1" applyProtection="1">
      <alignment horizontal="center" vertical="top" wrapText="1"/>
      <protection hidden="1"/>
    </xf>
    <xf numFmtId="3" fontId="0" fillId="42" borderId="51" xfId="3" applyNumberFormat="1" applyFont="1" applyFill="1" applyBorder="1" applyAlignment="1" applyProtection="1">
      <alignment horizontal="center" vertical="top" wrapText="1"/>
      <protection locked="0" hidden="1"/>
    </xf>
    <xf numFmtId="3" fontId="0" fillId="42" borderId="79" xfId="3" applyNumberFormat="1" applyFont="1" applyFill="1" applyBorder="1" applyAlignment="1" applyProtection="1">
      <alignment horizontal="center" vertical="top" wrapText="1"/>
      <protection locked="0" hidden="1"/>
    </xf>
    <xf numFmtId="0" fontId="53" fillId="23" borderId="58" xfId="0" applyFont="1" applyFill="1" applyBorder="1" applyAlignment="1" applyProtection="1">
      <alignment vertical="top" wrapText="1"/>
      <protection hidden="1"/>
    </xf>
    <xf numFmtId="43" fontId="1" fillId="23" borderId="0" xfId="1" applyFont="1" applyFill="1" applyAlignment="1" applyProtection="1">
      <alignment vertical="top" wrapText="1"/>
      <protection hidden="1"/>
    </xf>
    <xf numFmtId="2" fontId="0" fillId="0" borderId="0" xfId="0" applyNumberFormat="1" applyAlignment="1" applyProtection="1">
      <alignment horizontal="center" vertical="top" wrapText="1"/>
      <protection hidden="1"/>
    </xf>
    <xf numFmtId="0" fontId="0" fillId="23" borderId="2" xfId="0" applyFill="1" applyBorder="1" applyAlignment="1" applyProtection="1">
      <alignment vertical="top" wrapText="1"/>
      <protection hidden="1"/>
    </xf>
    <xf numFmtId="0" fontId="0" fillId="23" borderId="2" xfId="0" applyFill="1" applyBorder="1" applyAlignment="1" applyProtection="1">
      <alignment horizontal="center" vertical="top" wrapText="1"/>
      <protection hidden="1"/>
    </xf>
    <xf numFmtId="3" fontId="0" fillId="23" borderId="53" xfId="0" applyNumberFormat="1" applyFill="1" applyBorder="1" applyAlignment="1" applyProtection="1">
      <alignment horizontal="center" vertical="top" wrapText="1"/>
      <protection hidden="1"/>
    </xf>
    <xf numFmtId="0" fontId="77" fillId="6" borderId="53" xfId="0" applyFont="1" applyFill="1" applyBorder="1" applyAlignment="1" applyProtection="1">
      <alignment vertical="top" wrapText="1"/>
      <protection hidden="1"/>
    </xf>
    <xf numFmtId="0" fontId="77" fillId="6" borderId="0" xfId="0" applyFont="1" applyFill="1" applyAlignment="1" applyProtection="1">
      <alignment horizontal="center" vertical="top" wrapText="1"/>
      <protection hidden="1"/>
    </xf>
    <xf numFmtId="0" fontId="71" fillId="0" borderId="0" xfId="0" applyFont="1"/>
    <xf numFmtId="0" fontId="56" fillId="33" borderId="1" xfId="0" applyFont="1" applyFill="1" applyBorder="1" applyAlignment="1" applyProtection="1">
      <alignment horizontal="center" vertical="top" wrapText="1"/>
      <protection hidden="1"/>
    </xf>
    <xf numFmtId="0" fontId="47" fillId="0" borderId="0" xfId="0" applyFont="1" applyAlignment="1" applyProtection="1">
      <alignment vertical="top" wrapText="1"/>
      <protection hidden="1"/>
    </xf>
    <xf numFmtId="9" fontId="0" fillId="42" borderId="48" xfId="3" applyFont="1" applyFill="1" applyBorder="1" applyAlignment="1" applyProtection="1">
      <alignment horizontal="center" vertical="top" wrapText="1"/>
      <protection locked="0" hidden="1"/>
    </xf>
    <xf numFmtId="9" fontId="0" fillId="0" borderId="69" xfId="0" applyNumberFormat="1" applyBorder="1" applyAlignment="1" applyProtection="1">
      <alignment horizontal="center" vertical="top" wrapText="1"/>
      <protection hidden="1"/>
    </xf>
    <xf numFmtId="9" fontId="0" fillId="0" borderId="0" xfId="0" applyNumberFormat="1" applyAlignment="1" applyProtection="1">
      <alignment vertical="top" wrapText="1"/>
      <protection hidden="1"/>
    </xf>
    <xf numFmtId="9" fontId="0" fillId="42" borderId="47" xfId="3" applyFont="1" applyFill="1" applyBorder="1" applyAlignment="1" applyProtection="1">
      <alignment horizontal="center" vertical="top" wrapText="1"/>
      <protection locked="0" hidden="1"/>
    </xf>
    <xf numFmtId="9" fontId="0" fillId="0" borderId="44" xfId="0" applyNumberFormat="1" applyBorder="1" applyAlignment="1" applyProtection="1">
      <alignment horizontal="center" vertical="top" wrapText="1"/>
      <protection hidden="1"/>
    </xf>
    <xf numFmtId="9" fontId="0" fillId="0" borderId="0" xfId="3" applyFont="1" applyFill="1" applyBorder="1" applyAlignment="1" applyProtection="1">
      <alignment horizontal="center" vertical="top" wrapText="1"/>
      <protection hidden="1"/>
    </xf>
    <xf numFmtId="9" fontId="0" fillId="0" borderId="0" xfId="0" applyNumberFormat="1" applyAlignment="1" applyProtection="1">
      <alignment horizontal="center" vertical="top" wrapText="1"/>
      <protection hidden="1"/>
    </xf>
    <xf numFmtId="9" fontId="35" fillId="0" borderId="77" xfId="9" applyNumberFormat="1" applyFont="1" applyFill="1" applyBorder="1" applyAlignment="1" applyProtection="1">
      <alignment horizontal="center" vertical="top" wrapText="1"/>
      <protection hidden="1"/>
    </xf>
    <xf numFmtId="9" fontId="35" fillId="0" borderId="76" xfId="9" applyNumberFormat="1" applyFont="1" applyFill="1" applyBorder="1" applyAlignment="1" applyProtection="1">
      <alignment horizontal="center" vertical="top" wrapText="1"/>
      <protection hidden="1"/>
    </xf>
    <xf numFmtId="3" fontId="0" fillId="0" borderId="69" xfId="3" applyNumberFormat="1" applyFont="1" applyFill="1" applyBorder="1" applyAlignment="1" applyProtection="1">
      <alignment horizontal="center" vertical="top" wrapText="1"/>
      <protection hidden="1"/>
    </xf>
    <xf numFmtId="9" fontId="35" fillId="0" borderId="78" xfId="9" applyNumberFormat="1" applyFont="1" applyFill="1" applyBorder="1" applyAlignment="1" applyProtection="1">
      <alignment horizontal="center" vertical="top" wrapText="1"/>
      <protection hidden="1"/>
    </xf>
    <xf numFmtId="0" fontId="35" fillId="6" borderId="0" xfId="0" applyFont="1" applyFill="1" applyAlignment="1" applyProtection="1">
      <alignment horizontal="left" vertical="top" wrapText="1"/>
      <protection hidden="1"/>
    </xf>
    <xf numFmtId="0" fontId="53" fillId="0" borderId="0" xfId="0" applyFont="1" applyAlignment="1" applyProtection="1">
      <alignment horizontal="left" vertical="top" wrapText="1"/>
      <protection hidden="1"/>
    </xf>
    <xf numFmtId="9" fontId="35" fillId="0" borderId="58" xfId="9" applyNumberFormat="1" applyFont="1" applyFill="1" applyBorder="1" applyAlignment="1" applyProtection="1">
      <alignment horizontal="center" vertical="top" wrapText="1"/>
      <protection hidden="1"/>
    </xf>
    <xf numFmtId="4" fontId="0" fillId="0" borderId="48" xfId="3" applyNumberFormat="1" applyFont="1" applyFill="1" applyBorder="1" applyAlignment="1" applyProtection="1">
      <alignment horizontal="center" vertical="top" wrapText="1"/>
      <protection hidden="1"/>
    </xf>
    <xf numFmtId="9" fontId="35" fillId="0" borderId="48" xfId="9" applyNumberFormat="1" applyFont="1" applyFill="1" applyBorder="1" applyAlignment="1" applyProtection="1">
      <alignment horizontal="center" vertical="top" wrapText="1"/>
      <protection hidden="1"/>
    </xf>
    <xf numFmtId="9" fontId="35" fillId="0" borderId="44" xfId="9" applyNumberFormat="1" applyFont="1" applyFill="1" applyBorder="1" applyAlignment="1" applyProtection="1">
      <alignment horizontal="center" vertical="top" wrapText="1"/>
      <protection hidden="1"/>
    </xf>
    <xf numFmtId="170" fontId="0" fillId="0" borderId="0" xfId="0" applyNumberFormat="1" applyAlignment="1" applyProtection="1">
      <alignment vertical="top" wrapText="1"/>
      <protection hidden="1"/>
    </xf>
    <xf numFmtId="0" fontId="35" fillId="33" borderId="1" xfId="0" applyFont="1" applyFill="1" applyBorder="1" applyAlignment="1" applyProtection="1">
      <alignment horizontal="center" vertical="top" wrapText="1"/>
      <protection hidden="1"/>
    </xf>
    <xf numFmtId="0" fontId="53" fillId="33" borderId="0" xfId="0" applyFont="1" applyFill="1" applyAlignment="1" applyProtection="1">
      <alignment horizontal="left" vertical="top" wrapText="1"/>
      <protection hidden="1"/>
    </xf>
    <xf numFmtId="9" fontId="0" fillId="42" borderId="52" xfId="3" applyFont="1" applyFill="1" applyBorder="1" applyAlignment="1" applyProtection="1">
      <alignment horizontal="center" vertical="top" wrapText="1"/>
      <protection locked="0" hidden="1"/>
    </xf>
    <xf numFmtId="0" fontId="53" fillId="0" borderId="72" xfId="0" applyFont="1" applyBorder="1" applyAlignment="1" applyProtection="1">
      <alignment vertical="top" wrapText="1"/>
      <protection hidden="1"/>
    </xf>
    <xf numFmtId="3" fontId="0" fillId="0" borderId="72" xfId="3" applyNumberFormat="1" applyFont="1" applyFill="1" applyBorder="1" applyAlignment="1" applyProtection="1">
      <alignment horizontal="center" vertical="top" wrapText="1"/>
      <protection hidden="1"/>
    </xf>
    <xf numFmtId="9" fontId="35" fillId="0" borderId="0" xfId="9" applyNumberFormat="1" applyFont="1" applyFill="1" applyBorder="1" applyAlignment="1" applyProtection="1">
      <alignment horizontal="center" vertical="top" wrapText="1"/>
      <protection hidden="1"/>
    </xf>
    <xf numFmtId="4" fontId="75" fillId="0" borderId="0" xfId="3" applyNumberFormat="1" applyFont="1" applyFill="1" applyBorder="1" applyAlignment="1" applyProtection="1">
      <alignment horizontal="center" vertical="top" wrapText="1"/>
      <protection hidden="1"/>
    </xf>
    <xf numFmtId="9" fontId="74" fillId="0" borderId="0" xfId="9" applyNumberFormat="1" applyFont="1" applyFill="1" applyBorder="1" applyAlignment="1" applyProtection="1">
      <alignment horizontal="center" vertical="top" wrapText="1"/>
      <protection hidden="1"/>
    </xf>
    <xf numFmtId="1" fontId="0" fillId="0" borderId="25" xfId="0" applyNumberFormat="1" applyBorder="1" applyAlignment="1" applyProtection="1">
      <alignment horizontal="center" vertical="top" wrapText="1"/>
      <protection hidden="1"/>
    </xf>
    <xf numFmtId="1" fontId="0" fillId="0" borderId="44" xfId="0" applyNumberFormat="1" applyBorder="1" applyAlignment="1" applyProtection="1">
      <alignment horizontal="center" vertical="top" wrapText="1"/>
      <protection hidden="1"/>
    </xf>
    <xf numFmtId="3" fontId="0" fillId="0" borderId="44" xfId="0" applyNumberFormat="1" applyBorder="1" applyAlignment="1" applyProtection="1">
      <alignment horizontal="center" vertical="top" wrapText="1"/>
      <protection hidden="1"/>
    </xf>
    <xf numFmtId="0" fontId="47" fillId="0" borderId="0" xfId="0" applyFont="1" applyAlignment="1" applyProtection="1">
      <alignment horizontal="left" vertical="top" wrapText="1"/>
      <protection hidden="1"/>
    </xf>
    <xf numFmtId="4" fontId="47" fillId="0" borderId="0" xfId="3" applyNumberFormat="1" applyFont="1" applyFill="1" applyBorder="1" applyAlignment="1" applyProtection="1">
      <alignment horizontal="center" vertical="top" wrapText="1"/>
      <protection hidden="1"/>
    </xf>
    <xf numFmtId="0" fontId="53" fillId="33" borderId="0" xfId="0" applyFont="1" applyFill="1" applyAlignment="1" applyProtection="1">
      <alignment horizontal="center" vertical="top" wrapText="1"/>
      <protection hidden="1"/>
    </xf>
    <xf numFmtId="0" fontId="0" fillId="42" borderId="44" xfId="0" applyFill="1" applyBorder="1" applyAlignment="1" applyProtection="1">
      <alignment horizontal="center" vertical="top" wrapText="1"/>
      <protection locked="0" hidden="1"/>
    </xf>
    <xf numFmtId="9" fontId="48" fillId="0" borderId="1" xfId="9" applyNumberFormat="1" applyFill="1" applyBorder="1" applyAlignment="1" applyProtection="1">
      <alignment vertical="top" wrapText="1"/>
      <protection hidden="1"/>
    </xf>
    <xf numFmtId="3" fontId="0" fillId="42" borderId="44" xfId="3" applyNumberFormat="1" applyFont="1" applyFill="1" applyBorder="1" applyAlignment="1" applyProtection="1">
      <alignment horizontal="center" vertical="top" wrapText="1"/>
      <protection locked="0" hidden="1"/>
    </xf>
    <xf numFmtId="2" fontId="0" fillId="0" borderId="73" xfId="0" applyNumberFormat="1" applyBorder="1" applyAlignment="1" applyProtection="1">
      <alignment horizontal="center" vertical="top" wrapText="1"/>
      <protection hidden="1"/>
    </xf>
    <xf numFmtId="2" fontId="0" fillId="0" borderId="1" xfId="0" applyNumberFormat="1" applyBorder="1" applyAlignment="1" applyProtection="1">
      <alignment horizontal="center" vertical="top" wrapText="1"/>
      <protection hidden="1"/>
    </xf>
    <xf numFmtId="2" fontId="0" fillId="0" borderId="44" xfId="0" applyNumberFormat="1" applyBorder="1" applyAlignment="1" applyProtection="1">
      <alignment horizontal="center" vertical="top" wrapText="1"/>
      <protection hidden="1"/>
    </xf>
    <xf numFmtId="2" fontId="0" fillId="0" borderId="51" xfId="0" applyNumberFormat="1" applyBorder="1" applyAlignment="1" applyProtection="1">
      <alignment horizontal="center" vertical="top" wrapText="1"/>
      <protection hidden="1"/>
    </xf>
    <xf numFmtId="3" fontId="0" fillId="42" borderId="70" xfId="3" applyNumberFormat="1" applyFont="1" applyFill="1" applyBorder="1" applyAlignment="1" applyProtection="1">
      <alignment horizontal="center" vertical="top" wrapText="1"/>
      <protection locked="0" hidden="1"/>
    </xf>
    <xf numFmtId="2" fontId="0" fillId="0" borderId="71" xfId="0" applyNumberFormat="1" applyBorder="1" applyAlignment="1" applyProtection="1">
      <alignment horizontal="center" vertical="top" wrapText="1"/>
      <protection hidden="1"/>
    </xf>
    <xf numFmtId="0" fontId="0" fillId="0" borderId="2" xfId="0" applyBorder="1" applyAlignment="1" applyProtection="1">
      <alignment horizontal="center" vertical="top" wrapText="1"/>
      <protection hidden="1"/>
    </xf>
    <xf numFmtId="3" fontId="0" fillId="0" borderId="53" xfId="0" applyNumberFormat="1" applyBorder="1" applyAlignment="1" applyProtection="1">
      <alignment horizontal="center" vertical="top" wrapText="1"/>
      <protection hidden="1"/>
    </xf>
    <xf numFmtId="0" fontId="77" fillId="0" borderId="0" xfId="0" applyFont="1" applyAlignment="1" applyProtection="1">
      <alignment horizontal="center" vertical="top" wrapText="1"/>
      <protection hidden="1"/>
    </xf>
    <xf numFmtId="2" fontId="35" fillId="0" borderId="0" xfId="9" applyNumberFormat="1" applyFont="1" applyFill="1" applyBorder="1" applyAlignment="1" applyProtection="1">
      <alignment horizontal="center" vertical="top" wrapText="1"/>
      <protection hidden="1"/>
    </xf>
    <xf numFmtId="9" fontId="48" fillId="0" borderId="44" xfId="9" applyNumberFormat="1" applyFill="1" applyBorder="1" applyAlignment="1" applyProtection="1">
      <alignment horizontal="center" vertical="top" wrapText="1"/>
      <protection hidden="1"/>
    </xf>
    <xf numFmtId="0" fontId="53" fillId="0" borderId="25" xfId="0" applyFont="1" applyBorder="1" applyAlignment="1" applyProtection="1">
      <alignment horizontal="center" vertical="top" wrapText="1"/>
      <protection hidden="1"/>
    </xf>
    <xf numFmtId="3" fontId="2" fillId="0" borderId="47" xfId="3" applyNumberFormat="1" applyFont="1" applyFill="1" applyBorder="1" applyAlignment="1" applyProtection="1">
      <alignment horizontal="center" vertical="top" wrapText="1"/>
      <protection hidden="1"/>
    </xf>
    <xf numFmtId="0" fontId="76" fillId="23" borderId="0" xfId="0" applyFont="1" applyFill="1" applyAlignment="1" applyProtection="1">
      <alignment vertical="top" wrapText="1"/>
      <protection hidden="1"/>
    </xf>
    <xf numFmtId="3" fontId="1" fillId="23" borderId="0" xfId="1" applyNumberFormat="1" applyFont="1" applyFill="1" applyBorder="1" applyAlignment="1" applyProtection="1">
      <alignment horizontal="center" vertical="top" wrapText="1"/>
      <protection hidden="1"/>
    </xf>
    <xf numFmtId="9" fontId="0" fillId="0" borderId="1" xfId="0" applyNumberFormat="1" applyBorder="1" applyAlignment="1" applyProtection="1">
      <alignment horizontal="left" vertical="top" wrapText="1"/>
      <protection hidden="1"/>
    </xf>
    <xf numFmtId="0" fontId="53" fillId="0" borderId="1" xfId="0" applyFont="1" applyBorder="1" applyAlignment="1" applyProtection="1">
      <alignment horizontal="center" vertical="top" wrapText="1"/>
      <protection hidden="1"/>
    </xf>
    <xf numFmtId="43" fontId="1" fillId="23" borderId="0" xfId="1" applyFont="1" applyFill="1" applyBorder="1" applyAlignment="1" applyProtection="1">
      <alignment horizontal="center" vertical="top" wrapText="1"/>
      <protection hidden="1"/>
    </xf>
    <xf numFmtId="0" fontId="0" fillId="0" borderId="47" xfId="0" applyBorder="1" applyAlignment="1" applyProtection="1">
      <alignment vertical="top" wrapText="1"/>
      <protection hidden="1"/>
    </xf>
    <xf numFmtId="3" fontId="0" fillId="0" borderId="25" xfId="0" applyNumberFormat="1" applyBorder="1" applyAlignment="1" applyProtection="1">
      <alignment horizontal="center" vertical="top" wrapText="1"/>
      <protection hidden="1"/>
    </xf>
    <xf numFmtId="9" fontId="48" fillId="0" borderId="52" xfId="9" applyNumberFormat="1" applyFill="1" applyBorder="1" applyAlignment="1" applyProtection="1">
      <alignment horizontal="center" vertical="top" wrapText="1"/>
      <protection hidden="1"/>
    </xf>
    <xf numFmtId="0" fontId="53" fillId="23" borderId="2" xfId="0" applyFont="1" applyFill="1" applyBorder="1" applyAlignment="1" applyProtection="1">
      <alignment vertical="top" wrapText="1"/>
      <protection hidden="1"/>
    </xf>
    <xf numFmtId="0" fontId="53" fillId="33" borderId="1" xfId="0" applyFont="1" applyFill="1" applyBorder="1" applyAlignment="1" applyProtection="1">
      <alignment horizontal="left" vertical="top" wrapText="1"/>
      <protection hidden="1"/>
    </xf>
    <xf numFmtId="0" fontId="50" fillId="23" borderId="0" xfId="0" applyFont="1" applyFill="1" applyAlignment="1" applyProtection="1">
      <alignment vertical="top" wrapText="1"/>
      <protection hidden="1"/>
    </xf>
    <xf numFmtId="0" fontId="34" fillId="43" borderId="0" xfId="0" applyFont="1" applyFill="1" applyAlignment="1" applyProtection="1">
      <alignment horizontal="center" vertical="top" wrapText="1"/>
      <protection hidden="1"/>
    </xf>
    <xf numFmtId="0" fontId="34" fillId="43" borderId="51" xfId="0" applyFont="1" applyFill="1" applyBorder="1" applyAlignment="1" applyProtection="1">
      <alignment horizontal="left" vertical="top" wrapText="1"/>
      <protection hidden="1"/>
    </xf>
    <xf numFmtId="0" fontId="52" fillId="32" borderId="50" xfId="0" applyFont="1" applyFill="1" applyBorder="1" applyAlignment="1" applyProtection="1">
      <alignment horizontal="left" vertical="top" wrapText="1"/>
      <protection hidden="1"/>
    </xf>
    <xf numFmtId="164" fontId="0" fillId="23" borderId="0" xfId="1" applyNumberFormat="1" applyFont="1" applyFill="1" applyAlignment="1" applyProtection="1">
      <alignment horizontal="right" vertical="top" wrapText="1"/>
      <protection hidden="1"/>
    </xf>
    <xf numFmtId="0" fontId="0" fillId="26" borderId="50" xfId="0" applyFill="1" applyBorder="1" applyAlignment="1" applyProtection="1">
      <alignment vertical="top" wrapText="1"/>
      <protection hidden="1"/>
    </xf>
    <xf numFmtId="164" fontId="0" fillId="23" borderId="53" xfId="1" applyNumberFormat="1" applyFont="1" applyFill="1" applyBorder="1" applyAlignment="1" applyProtection="1">
      <alignment horizontal="right" vertical="top" wrapText="1"/>
      <protection hidden="1"/>
    </xf>
    <xf numFmtId="164" fontId="52" fillId="32" borderId="0" xfId="1" applyNumberFormat="1" applyFont="1" applyFill="1" applyAlignment="1" applyProtection="1">
      <alignment horizontal="right" vertical="top" wrapText="1"/>
      <protection hidden="1"/>
    </xf>
    <xf numFmtId="0" fontId="52" fillId="32" borderId="50" xfId="0" applyFont="1" applyFill="1" applyBorder="1" applyAlignment="1" applyProtection="1">
      <alignment vertical="top" wrapText="1"/>
      <protection hidden="1"/>
    </xf>
    <xf numFmtId="164" fontId="0" fillId="0" borderId="55" xfId="1" applyNumberFormat="1" applyFont="1" applyFill="1" applyBorder="1" applyAlignment="1" applyProtection="1">
      <alignment horizontal="right" vertical="top" wrapText="1"/>
      <protection hidden="1"/>
    </xf>
    <xf numFmtId="164" fontId="0" fillId="23" borderId="55" xfId="1" applyNumberFormat="1" applyFont="1" applyFill="1" applyBorder="1" applyAlignment="1" applyProtection="1">
      <alignment horizontal="right" vertical="top" wrapText="1"/>
      <protection hidden="1"/>
    </xf>
    <xf numFmtId="164" fontId="0" fillId="23" borderId="0" xfId="1" applyNumberFormat="1" applyFont="1" applyFill="1" applyBorder="1" applyAlignment="1" applyProtection="1">
      <alignment horizontal="right" vertical="top" wrapText="1"/>
      <protection hidden="1"/>
    </xf>
    <xf numFmtId="0" fontId="0" fillId="0" borderId="50" xfId="0" applyBorder="1" applyAlignment="1" applyProtection="1">
      <alignment vertical="top" wrapText="1"/>
      <protection hidden="1"/>
    </xf>
    <xf numFmtId="0" fontId="0" fillId="26" borderId="48" xfId="0" applyFill="1" applyBorder="1" applyAlignment="1" applyProtection="1">
      <alignment vertical="top" wrapText="1"/>
      <protection hidden="1"/>
    </xf>
    <xf numFmtId="43" fontId="1" fillId="33" borderId="0" xfId="1" applyFont="1" applyFill="1" applyAlignment="1" applyProtection="1">
      <alignment vertical="top" wrapText="1"/>
      <protection hidden="1"/>
    </xf>
    <xf numFmtId="0" fontId="48" fillId="23" borderId="0" xfId="9" applyFill="1" applyAlignment="1" applyProtection="1">
      <alignment horizontal="left" vertical="center"/>
      <protection hidden="1"/>
    </xf>
    <xf numFmtId="0" fontId="48" fillId="0" borderId="0" xfId="9" applyAlignment="1" applyProtection="1">
      <alignment horizontal="left"/>
      <protection locked="0"/>
    </xf>
    <xf numFmtId="0" fontId="0" fillId="23" borderId="0" xfId="0" applyFill="1" applyAlignment="1" applyProtection="1">
      <alignment vertical="top"/>
      <protection hidden="1"/>
    </xf>
    <xf numFmtId="0" fontId="47" fillId="23" borderId="0" xfId="0" applyFont="1" applyFill="1" applyAlignment="1" applyProtection="1">
      <alignment vertical="top"/>
      <protection hidden="1"/>
    </xf>
    <xf numFmtId="0" fontId="52" fillId="32" borderId="0" xfId="0" applyFont="1" applyFill="1" applyAlignment="1" applyProtection="1">
      <alignment vertical="top"/>
      <protection hidden="1"/>
    </xf>
    <xf numFmtId="164" fontId="52" fillId="32" borderId="0" xfId="1" applyNumberFormat="1" applyFont="1" applyFill="1" applyAlignment="1" applyProtection="1">
      <alignment horizontal="right" vertical="top"/>
      <protection hidden="1"/>
    </xf>
    <xf numFmtId="4" fontId="0" fillId="42" borderId="51" xfId="3" applyNumberFormat="1" applyFont="1" applyFill="1" applyBorder="1" applyAlignment="1" applyProtection="1">
      <alignment horizontal="center" vertical="center" wrapText="1"/>
      <protection locked="0" hidden="1"/>
    </xf>
    <xf numFmtId="4" fontId="0" fillId="42" borderId="47" xfId="3" applyNumberFormat="1" applyFont="1" applyFill="1" applyBorder="1" applyAlignment="1" applyProtection="1">
      <alignment horizontal="center" vertical="center" wrapText="1"/>
      <protection locked="0" hidden="1"/>
    </xf>
    <xf numFmtId="3" fontId="0" fillId="42" borderId="47" xfId="3" applyNumberFormat="1" applyFont="1" applyFill="1" applyBorder="1" applyAlignment="1" applyProtection="1">
      <alignment horizontal="center" vertical="center" wrapText="1"/>
      <protection locked="0" hidden="1"/>
    </xf>
    <xf numFmtId="0" fontId="0" fillId="0" borderId="47" xfId="0" applyBorder="1" applyAlignment="1" applyProtection="1">
      <alignment horizontal="center" vertical="center" wrapText="1"/>
      <protection hidden="1"/>
    </xf>
    <xf numFmtId="0" fontId="53" fillId="23" borderId="76" xfId="0" applyFont="1" applyFill="1" applyBorder="1" applyAlignment="1" applyProtection="1">
      <alignment horizontal="left" vertical="center" wrapText="1"/>
      <protection hidden="1"/>
    </xf>
    <xf numFmtId="0" fontId="53" fillId="23" borderId="47" xfId="0" applyFont="1" applyFill="1" applyBorder="1" applyAlignment="1" applyProtection="1">
      <alignment horizontal="left" vertical="center" wrapText="1"/>
      <protection hidden="1"/>
    </xf>
    <xf numFmtId="0" fontId="53" fillId="23" borderId="0" xfId="0" applyFont="1" applyFill="1" applyAlignment="1" applyProtection="1">
      <alignment vertical="center" wrapText="1"/>
      <protection hidden="1"/>
    </xf>
    <xf numFmtId="0" fontId="0" fillId="33" borderId="1" xfId="0" applyFill="1" applyBorder="1" applyAlignment="1" applyProtection="1">
      <alignment vertical="center" wrapText="1"/>
      <protection hidden="1"/>
    </xf>
    <xf numFmtId="0" fontId="53" fillId="33" borderId="0" xfId="0" applyFont="1" applyFill="1" applyAlignment="1" applyProtection="1">
      <alignment vertical="center" wrapText="1"/>
      <protection hidden="1"/>
    </xf>
    <xf numFmtId="0" fontId="35" fillId="23" borderId="0" xfId="0" applyFont="1" applyFill="1" applyAlignment="1" applyProtection="1">
      <alignment horizontal="left" vertical="center" wrapText="1"/>
      <protection hidden="1"/>
    </xf>
    <xf numFmtId="0" fontId="53" fillId="23" borderId="47" xfId="0" applyFont="1" applyFill="1" applyBorder="1" applyAlignment="1" applyProtection="1">
      <alignment vertical="center" wrapText="1"/>
      <protection hidden="1"/>
    </xf>
    <xf numFmtId="0" fontId="0" fillId="33" borderId="0" xfId="0" applyFill="1" applyAlignment="1" applyProtection="1">
      <alignment vertical="center" wrapText="1"/>
      <protection hidden="1"/>
    </xf>
    <xf numFmtId="0" fontId="0" fillId="0" borderId="0" xfId="0" applyAlignment="1">
      <alignment horizontal="center"/>
    </xf>
    <xf numFmtId="0" fontId="1" fillId="0" borderId="0" xfId="0" applyFont="1" applyAlignment="1">
      <alignment horizontal="center"/>
    </xf>
    <xf numFmtId="0" fontId="99" fillId="0" borderId="0" xfId="0" applyFont="1"/>
    <xf numFmtId="0" fontId="0" fillId="50" borderId="0" xfId="0" applyFill="1"/>
    <xf numFmtId="0" fontId="53" fillId="52" borderId="0" xfId="0" applyFont="1" applyFill="1" applyAlignment="1" applyProtection="1">
      <alignment horizontal="left" vertical="center" wrapText="1"/>
      <protection hidden="1"/>
    </xf>
    <xf numFmtId="0" fontId="35" fillId="52" borderId="0" xfId="0" applyFont="1" applyFill="1" applyAlignment="1" applyProtection="1">
      <alignment horizontal="left" vertical="center" wrapText="1"/>
      <protection hidden="1"/>
    </xf>
    <xf numFmtId="0" fontId="0" fillId="52" borderId="0" xfId="0" applyFill="1" applyAlignment="1">
      <alignment vertical="center"/>
    </xf>
    <xf numFmtId="0" fontId="35" fillId="51" borderId="0" xfId="0" applyFont="1" applyFill="1" applyAlignment="1" applyProtection="1">
      <alignment horizontal="left" vertical="center" wrapText="1"/>
      <protection hidden="1"/>
    </xf>
    <xf numFmtId="3" fontId="0" fillId="51" borderId="0" xfId="3" applyNumberFormat="1" applyFont="1" applyFill="1" applyBorder="1" applyAlignment="1" applyProtection="1">
      <alignment horizontal="center" vertical="center" wrapText="1"/>
      <protection locked="0" hidden="1"/>
    </xf>
    <xf numFmtId="0" fontId="0" fillId="51" borderId="0" xfId="0" applyFill="1" applyAlignment="1" applyProtection="1">
      <alignment horizontal="center" vertical="center" wrapText="1"/>
      <protection hidden="1"/>
    </xf>
    <xf numFmtId="0" fontId="53" fillId="51" borderId="0" xfId="0" applyFont="1" applyFill="1" applyAlignment="1" applyProtection="1">
      <alignment vertical="center" wrapText="1"/>
      <protection hidden="1"/>
    </xf>
    <xf numFmtId="3" fontId="0" fillId="23" borderId="0" xfId="3" applyNumberFormat="1" applyFont="1" applyFill="1" applyBorder="1" applyAlignment="1" applyProtection="1">
      <alignment horizontal="center" vertical="center" wrapText="1"/>
      <protection locked="0" hidden="1"/>
    </xf>
    <xf numFmtId="0" fontId="0" fillId="23" borderId="0" xfId="0" applyFill="1" applyAlignment="1" applyProtection="1">
      <alignment horizontal="center" vertical="center" wrapText="1"/>
      <protection hidden="1"/>
    </xf>
    <xf numFmtId="49" fontId="0" fillId="0" borderId="0" xfId="0" applyNumberFormat="1"/>
    <xf numFmtId="0" fontId="53" fillId="23" borderId="80" xfId="0" applyFont="1" applyFill="1" applyBorder="1" applyAlignment="1" applyProtection="1">
      <alignment horizontal="left" vertical="center" wrapText="1"/>
      <protection hidden="1"/>
    </xf>
    <xf numFmtId="0" fontId="53" fillId="23" borderId="77" xfId="0" applyFont="1" applyFill="1" applyBorder="1" applyAlignment="1" applyProtection="1">
      <alignment horizontal="left" vertical="center" wrapText="1"/>
      <protection hidden="1"/>
    </xf>
    <xf numFmtId="0" fontId="59" fillId="22" borderId="0" xfId="10" applyFont="1" applyFill="1" applyAlignment="1" applyProtection="1">
      <alignment horizontal="center" vertical="center" textRotation="90"/>
    </xf>
    <xf numFmtId="0" fontId="59" fillId="24" borderId="0" xfId="11" applyFont="1" applyFill="1" applyAlignment="1" applyProtection="1">
      <alignment horizontal="center" vertical="center" textRotation="90"/>
    </xf>
    <xf numFmtId="0" fontId="48" fillId="0" borderId="0" xfId="9" applyAlignment="1" applyProtection="1">
      <alignment horizontal="left"/>
      <protection locked="0"/>
    </xf>
    <xf numFmtId="0" fontId="48" fillId="0" borderId="0" xfId="9" applyFill="1" applyBorder="1" applyAlignment="1" applyProtection="1">
      <alignment horizontal="left"/>
      <protection locked="0"/>
    </xf>
    <xf numFmtId="0" fontId="53" fillId="23" borderId="76" xfId="0" applyFont="1" applyFill="1" applyBorder="1" applyAlignment="1" applyProtection="1">
      <alignment horizontal="left" vertical="top" wrapText="1"/>
      <protection hidden="1"/>
    </xf>
    <xf numFmtId="0" fontId="53" fillId="23" borderId="57" xfId="0" applyFont="1" applyFill="1" applyBorder="1" applyAlignment="1" applyProtection="1">
      <alignment horizontal="left" vertical="top" wrapText="1"/>
      <protection hidden="1"/>
    </xf>
    <xf numFmtId="0" fontId="35" fillId="23" borderId="44" xfId="0" applyFont="1" applyFill="1" applyBorder="1" applyAlignment="1" applyProtection="1">
      <alignment horizontal="left" vertical="top" wrapText="1"/>
      <protection hidden="1"/>
    </xf>
    <xf numFmtId="0" fontId="35" fillId="23" borderId="25" xfId="0" applyFont="1" applyFill="1" applyBorder="1" applyAlignment="1" applyProtection="1">
      <alignment horizontal="left" vertical="top" wrapText="1"/>
      <protection hidden="1"/>
    </xf>
    <xf numFmtId="0" fontId="35" fillId="23" borderId="45" xfId="0" applyFont="1" applyFill="1" applyBorder="1" applyAlignment="1" applyProtection="1">
      <alignment horizontal="left" vertical="top" wrapText="1"/>
      <protection hidden="1"/>
    </xf>
    <xf numFmtId="0" fontId="53" fillId="23" borderId="58" xfId="0" applyFont="1" applyFill="1" applyBorder="1" applyAlignment="1" applyProtection="1">
      <alignment horizontal="left" vertical="top" wrapText="1"/>
      <protection hidden="1"/>
    </xf>
    <xf numFmtId="0" fontId="35" fillId="23" borderId="73" xfId="0" applyFont="1" applyFill="1" applyBorder="1" applyAlignment="1" applyProtection="1">
      <alignment horizontal="left" vertical="top" wrapText="1"/>
      <protection hidden="1"/>
    </xf>
    <xf numFmtId="0" fontId="35" fillId="23" borderId="74" xfId="0" applyFont="1" applyFill="1" applyBorder="1" applyAlignment="1" applyProtection="1">
      <alignment horizontal="left" vertical="top" wrapText="1"/>
      <protection hidden="1"/>
    </xf>
    <xf numFmtId="0" fontId="35" fillId="23" borderId="75" xfId="0" applyFont="1" applyFill="1" applyBorder="1" applyAlignment="1" applyProtection="1">
      <alignment horizontal="left" vertical="top" wrapText="1"/>
      <protection hidden="1"/>
    </xf>
    <xf numFmtId="0" fontId="53" fillId="23" borderId="47" xfId="0" applyFont="1" applyFill="1" applyBorder="1" applyAlignment="1" applyProtection="1">
      <alignment horizontal="left" vertical="center" wrapText="1"/>
      <protection hidden="1"/>
    </xf>
    <xf numFmtId="0" fontId="0" fillId="33" borderId="1" xfId="0" applyFill="1" applyBorder="1" applyAlignment="1" applyProtection="1">
      <alignment horizontal="left" vertical="center" wrapText="1"/>
      <protection hidden="1"/>
    </xf>
    <xf numFmtId="0" fontId="57" fillId="23" borderId="0" xfId="0" applyFont="1" applyFill="1" applyAlignment="1" applyProtection="1">
      <alignment horizontal="center" vertical="top" wrapText="1"/>
      <protection hidden="1"/>
    </xf>
    <xf numFmtId="0" fontId="64" fillId="23" borderId="0" xfId="0" applyFont="1" applyFill="1" applyAlignment="1" applyProtection="1">
      <alignment horizontal="center" vertical="top" wrapText="1"/>
      <protection hidden="1"/>
    </xf>
    <xf numFmtId="0" fontId="50" fillId="23" borderId="44" xfId="0" applyFont="1" applyFill="1" applyBorder="1" applyAlignment="1" applyProtection="1">
      <alignment horizontal="left" vertical="top" wrapText="1"/>
      <protection hidden="1"/>
    </xf>
    <xf numFmtId="0" fontId="50" fillId="23" borderId="25" xfId="0" applyFont="1" applyFill="1" applyBorder="1" applyAlignment="1" applyProtection="1">
      <alignment horizontal="left" vertical="top" wrapText="1"/>
      <protection hidden="1"/>
    </xf>
    <xf numFmtId="0" fontId="50" fillId="23" borderId="45" xfId="0" applyFont="1" applyFill="1" applyBorder="1" applyAlignment="1" applyProtection="1">
      <alignment horizontal="left" vertical="top" wrapText="1"/>
      <protection hidden="1"/>
    </xf>
    <xf numFmtId="0" fontId="50" fillId="23" borderId="47" xfId="0" applyFont="1" applyFill="1" applyBorder="1" applyAlignment="1" applyProtection="1">
      <alignment horizontal="left" vertical="top" wrapText="1"/>
      <protection hidden="1"/>
    </xf>
    <xf numFmtId="0" fontId="34" fillId="43" borderId="44" xfId="0" applyFont="1" applyFill="1" applyBorder="1" applyAlignment="1" applyProtection="1">
      <alignment horizontal="center" vertical="top" wrapText="1"/>
      <protection hidden="1"/>
    </xf>
    <xf numFmtId="0" fontId="34" fillId="43" borderId="25" xfId="0" applyFont="1" applyFill="1" applyBorder="1" applyAlignment="1" applyProtection="1">
      <alignment horizontal="center" vertical="top" wrapText="1"/>
      <protection hidden="1"/>
    </xf>
    <xf numFmtId="0" fontId="34" fillId="43" borderId="45" xfId="0" applyFont="1" applyFill="1" applyBorder="1" applyAlignment="1" applyProtection="1">
      <alignment horizontal="center" vertical="top" wrapText="1"/>
      <protection hidden="1"/>
    </xf>
    <xf numFmtId="0" fontId="52" fillId="32" borderId="51" xfId="0" applyFont="1" applyFill="1" applyBorder="1" applyAlignment="1" applyProtection="1">
      <alignment horizontal="center" vertical="top" wrapText="1"/>
      <protection hidden="1"/>
    </xf>
    <xf numFmtId="0" fontId="52" fillId="32" borderId="48" xfId="0" applyFont="1" applyFill="1" applyBorder="1" applyAlignment="1" applyProtection="1">
      <alignment horizontal="center" vertical="top" wrapText="1"/>
      <protection hidden="1"/>
    </xf>
    <xf numFmtId="0" fontId="52" fillId="42" borderId="51" xfId="0" applyFont="1" applyFill="1" applyBorder="1" applyAlignment="1" applyProtection="1">
      <alignment horizontal="center" vertical="top" wrapText="1"/>
      <protection locked="0" hidden="1"/>
    </xf>
    <xf numFmtId="0" fontId="52" fillId="42" borderId="48" xfId="0" applyFont="1" applyFill="1" applyBorder="1" applyAlignment="1" applyProtection="1">
      <alignment horizontal="center" vertical="top" wrapText="1"/>
      <protection locked="0" hidden="1"/>
    </xf>
    <xf numFmtId="0" fontId="52" fillId="32" borderId="47" xfId="0" applyFont="1" applyFill="1" applyBorder="1" applyAlignment="1" applyProtection="1">
      <alignment horizontal="center" vertical="top" wrapText="1"/>
      <protection hidden="1"/>
    </xf>
    <xf numFmtId="0" fontId="0" fillId="0" borderId="0" xfId="0"/>
    <xf numFmtId="0" fontId="0" fillId="4" borderId="49" xfId="0" applyFill="1" applyBorder="1" applyAlignment="1">
      <alignment horizontal="center"/>
    </xf>
    <xf numFmtId="0" fontId="0" fillId="4" borderId="32" xfId="0" applyFill="1" applyBorder="1" applyAlignment="1">
      <alignment horizontal="center"/>
    </xf>
    <xf numFmtId="0" fontId="1" fillId="0" borderId="0" xfId="0" applyFont="1"/>
    <xf numFmtId="2" fontId="0" fillId="4" borderId="49" xfId="0" applyNumberFormat="1" applyFill="1" applyBorder="1" applyAlignment="1">
      <alignment horizontal="center"/>
    </xf>
    <xf numFmtId="2" fontId="0" fillId="4" borderId="32" xfId="0" applyNumberFormat="1" applyFill="1" applyBorder="1" applyAlignment="1">
      <alignment horizontal="center"/>
    </xf>
    <xf numFmtId="0" fontId="0" fillId="23" borderId="0" xfId="0" applyFill="1" applyAlignment="1">
      <alignment horizontal="left" wrapText="1"/>
    </xf>
    <xf numFmtId="0" fontId="50" fillId="23" borderId="0" xfId="0" applyFont="1" applyFill="1" applyAlignment="1">
      <alignment horizontal="left" vertical="center" wrapText="1"/>
    </xf>
    <xf numFmtId="0" fontId="34" fillId="44" borderId="18" xfId="0" applyFont="1" applyFill="1" applyBorder="1" applyAlignment="1">
      <alignment horizontal="left"/>
    </xf>
    <xf numFmtId="0" fontId="34" fillId="44" borderId="23" xfId="0" applyFont="1" applyFill="1" applyBorder="1" applyAlignment="1">
      <alignment horizontal="left"/>
    </xf>
    <xf numFmtId="0" fontId="34" fillId="44" borderId="68" xfId="0" applyFont="1" applyFill="1" applyBorder="1" applyAlignment="1">
      <alignment horizontal="left"/>
    </xf>
    <xf numFmtId="0" fontId="0" fillId="23" borderId="51" xfId="0" applyFill="1" applyBorder="1" applyAlignment="1">
      <alignment horizontal="left" vertical="center" wrapText="1"/>
    </xf>
    <xf numFmtId="0" fontId="0" fillId="23" borderId="50" xfId="0" applyFill="1" applyBorder="1" applyAlignment="1">
      <alignment horizontal="left" vertical="center" wrapText="1"/>
    </xf>
    <xf numFmtId="0" fontId="0" fillId="23" borderId="48" xfId="0" applyFill="1" applyBorder="1" applyAlignment="1">
      <alignment horizontal="left" vertical="center" wrapText="1"/>
    </xf>
    <xf numFmtId="0" fontId="34" fillId="45" borderId="62" xfId="0" applyFont="1" applyFill="1" applyBorder="1" applyAlignment="1">
      <alignment horizontal="left"/>
    </xf>
    <xf numFmtId="0" fontId="34" fillId="45" borderId="0" xfId="0" applyFont="1" applyFill="1" applyAlignment="1">
      <alignment horizontal="left"/>
    </xf>
    <xf numFmtId="0" fontId="1" fillId="17" borderId="1" xfId="0" applyFont="1" applyFill="1" applyBorder="1" applyAlignment="1">
      <alignment horizontal="left"/>
    </xf>
    <xf numFmtId="0" fontId="1" fillId="17" borderId="25" xfId="0" applyFont="1" applyFill="1" applyBorder="1" applyAlignment="1">
      <alignment horizontal="left"/>
    </xf>
    <xf numFmtId="0" fontId="53" fillId="23" borderId="0" xfId="0" applyFont="1" applyFill="1" applyAlignment="1">
      <alignment horizontal="left" wrapText="1"/>
    </xf>
    <xf numFmtId="0" fontId="53" fillId="33" borderId="1" xfId="0" applyFont="1" applyFill="1" applyBorder="1" applyAlignment="1">
      <alignment horizontal="left" wrapText="1"/>
    </xf>
    <xf numFmtId="0" fontId="65" fillId="23" borderId="0" xfId="0" applyFont="1" applyFill="1" applyAlignment="1">
      <alignment horizontal="left" wrapText="1"/>
    </xf>
    <xf numFmtId="0" fontId="53" fillId="23" borderId="2" xfId="0" applyFont="1" applyFill="1" applyBorder="1" applyAlignment="1">
      <alignment horizontal="left" wrapText="1"/>
    </xf>
    <xf numFmtId="0" fontId="0" fillId="23" borderId="51" xfId="0" applyFill="1" applyBorder="1" applyAlignment="1">
      <alignment horizontal="left" wrapText="1"/>
    </xf>
    <xf numFmtId="0" fontId="0" fillId="23" borderId="50" xfId="0" applyFill="1" applyBorder="1" applyAlignment="1">
      <alignment horizontal="left" wrapText="1"/>
    </xf>
    <xf numFmtId="0" fontId="0" fillId="23" borderId="48" xfId="0" applyFill="1" applyBorder="1" applyAlignment="1">
      <alignment horizontal="left" wrapText="1"/>
    </xf>
    <xf numFmtId="0" fontId="41" fillId="26" borderId="49" xfId="0" applyFont="1" applyFill="1" applyBorder="1" applyAlignment="1">
      <alignment horizontal="left" vertical="center" wrapText="1"/>
    </xf>
    <xf numFmtId="0" fontId="36" fillId="26" borderId="30" xfId="0" applyFont="1" applyFill="1" applyBorder="1" applyAlignment="1">
      <alignment horizontal="left" vertical="center"/>
    </xf>
    <xf numFmtId="0" fontId="36" fillId="26" borderId="32" xfId="0" applyFont="1" applyFill="1" applyBorder="1" applyAlignment="1">
      <alignment horizontal="left" vertical="center"/>
    </xf>
    <xf numFmtId="0" fontId="41" fillId="26" borderId="49" xfId="0" applyFont="1" applyFill="1" applyBorder="1" applyAlignment="1">
      <alignment horizontal="left" vertical="top" wrapText="1"/>
    </xf>
    <xf numFmtId="0" fontId="43" fillId="26" borderId="30" xfId="0" applyFont="1" applyFill="1" applyBorder="1" applyAlignment="1">
      <alignment horizontal="left" vertical="top"/>
    </xf>
    <xf numFmtId="0" fontId="43" fillId="26" borderId="32" xfId="0" applyFont="1" applyFill="1" applyBorder="1" applyAlignment="1">
      <alignment horizontal="left" vertical="top"/>
    </xf>
    <xf numFmtId="0" fontId="0" fillId="27" borderId="0" xfId="0" applyFill="1" applyAlignment="1">
      <alignment horizontal="left" wrapText="1"/>
    </xf>
    <xf numFmtId="0" fontId="37" fillId="29" borderId="15" xfId="0" applyFont="1" applyFill="1" applyBorder="1" applyAlignment="1">
      <alignment horizontal="center" vertical="center"/>
    </xf>
    <xf numFmtId="0" fontId="37" fillId="29" borderId="16" xfId="0" applyFont="1" applyFill="1" applyBorder="1" applyAlignment="1">
      <alignment horizontal="center" vertical="center"/>
    </xf>
    <xf numFmtId="0" fontId="40" fillId="5" borderId="0" xfId="0" applyFont="1" applyFill="1" applyAlignment="1">
      <alignment horizontal="left" vertical="top" wrapText="1"/>
    </xf>
    <xf numFmtId="0" fontId="40" fillId="5" borderId="0" xfId="0" applyFont="1" applyFill="1" applyAlignment="1">
      <alignment horizontal="left" vertical="top"/>
    </xf>
    <xf numFmtId="0" fontId="41" fillId="30" borderId="49" xfId="0" applyFont="1" applyFill="1" applyBorder="1" applyAlignment="1">
      <alignment horizontal="left" vertical="top" wrapText="1"/>
    </xf>
    <xf numFmtId="0" fontId="41" fillId="30" borderId="30" xfId="0" applyFont="1" applyFill="1" applyBorder="1" applyAlignment="1">
      <alignment horizontal="left" vertical="top" wrapText="1"/>
    </xf>
    <xf numFmtId="0" fontId="41" fillId="30" borderId="32" xfId="0" applyFont="1" applyFill="1" applyBorder="1" applyAlignment="1">
      <alignment horizontal="left" vertical="top" wrapText="1"/>
    </xf>
    <xf numFmtId="0" fontId="42" fillId="30" borderId="30" xfId="0" applyFont="1" applyFill="1" applyBorder="1" applyAlignment="1">
      <alignment horizontal="left" vertical="top"/>
    </xf>
    <xf numFmtId="0" fontId="42" fillId="30" borderId="32" xfId="0" applyFont="1" applyFill="1" applyBorder="1" applyAlignment="1">
      <alignment horizontal="left" vertical="top"/>
    </xf>
    <xf numFmtId="0" fontId="5" fillId="2" borderId="0" xfId="0" applyFont="1" applyFill="1"/>
    <xf numFmtId="0" fontId="3" fillId="0" borderId="0" xfId="0" applyFont="1"/>
    <xf numFmtId="0" fontId="12" fillId="6" borderId="0" xfId="0" applyFont="1" applyFill="1" applyAlignment="1">
      <alignment horizontal="left" vertical="top" wrapText="1"/>
    </xf>
    <xf numFmtId="166" fontId="10" fillId="8" borderId="8" xfId="8" applyFont="1" applyFill="1" applyBorder="1" applyAlignment="1">
      <alignment horizontal="center" vertical="center" wrapText="1"/>
    </xf>
    <xf numFmtId="166" fontId="10" fillId="8" borderId="9" xfId="8" applyFont="1" applyFill="1" applyBorder="1" applyAlignment="1">
      <alignment horizontal="center" vertical="center" wrapText="1"/>
    </xf>
    <xf numFmtId="166" fontId="14" fillId="7" borderId="6" xfId="4" applyFont="1" applyFill="1" applyBorder="1" applyAlignment="1">
      <alignment horizontal="center"/>
    </xf>
    <xf numFmtId="166" fontId="14" fillId="7" borderId="0" xfId="4" applyFont="1" applyFill="1" applyAlignment="1">
      <alignment horizontal="center"/>
    </xf>
    <xf numFmtId="166" fontId="14" fillId="7" borderId="14" xfId="4" applyFont="1" applyFill="1" applyBorder="1" applyAlignment="1">
      <alignment horizontal="center"/>
    </xf>
    <xf numFmtId="0" fontId="0" fillId="52" borderId="0" xfId="0" applyFill="1" applyAlignment="1" applyProtection="1">
      <alignment vertical="center"/>
      <protection hidden="1"/>
    </xf>
    <xf numFmtId="3" fontId="0" fillId="51" borderId="0" xfId="3" applyNumberFormat="1" applyFont="1" applyFill="1" applyBorder="1" applyAlignment="1" applyProtection="1">
      <alignment horizontal="center" vertical="center" wrapText="1"/>
      <protection hidden="1"/>
    </xf>
    <xf numFmtId="3" fontId="0" fillId="23" borderId="0" xfId="3" applyNumberFormat="1" applyFont="1" applyFill="1" applyBorder="1" applyAlignment="1" applyProtection="1">
      <alignment horizontal="center" vertical="center" wrapText="1"/>
      <protection hidden="1"/>
    </xf>
    <xf numFmtId="0" fontId="0" fillId="23" borderId="2" xfId="0" applyFill="1" applyBorder="1" applyAlignment="1" applyProtection="1">
      <alignment horizontal="left" vertical="top"/>
      <protection hidden="1"/>
    </xf>
  </cellXfs>
  <cellStyles count="12">
    <cellStyle name="40% - Accent5 2" xfId="10" xr:uid="{5492313F-A0A1-7B44-8A89-D7AD119BC9CC}"/>
    <cellStyle name="40% - Accent6 2" xfId="11" xr:uid="{EB74880A-E005-1042-854E-764256FAB230}"/>
    <cellStyle name="Comma" xfId="1" builtinId="3"/>
    <cellStyle name="Currency" xfId="2" builtinId="4"/>
    <cellStyle name="Hyperlink" xfId="9" builtinId="8"/>
    <cellStyle name="Normal" xfId="0" builtinId="0"/>
    <cellStyle name="Normal 3 2" xfId="4" xr:uid="{EDC0066F-1940-4361-9392-A1772486E155}"/>
    <cellStyle name="Normal 3 3" xfId="8" xr:uid="{7D877B2B-967F-480A-A025-46DA93058E10}"/>
    <cellStyle name="Normal 3 3 2" xfId="6" xr:uid="{042FDF63-6BC9-4BAF-A6D9-F208947772FD}"/>
    <cellStyle name="Normal 5" xfId="5" xr:uid="{49B6E08A-04AD-4FD5-B95B-DF6728825ECA}"/>
    <cellStyle name="Normal_19-12-2007 PBF-model v88 Base" xfId="7" xr:uid="{BEF6CB12-ABAF-48DF-BEB9-66960E4FEA63}"/>
    <cellStyle name="Percent" xfId="3" builtinId="5"/>
  </cellStyles>
  <dxfs count="110">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theme="2" tint="-0.24994659260841701"/>
        </patternFill>
      </fill>
    </dxf>
    <dxf>
      <fill>
        <patternFill>
          <bgColor rgb="FFFFFF99"/>
        </patternFill>
      </fill>
    </dxf>
    <dxf>
      <fill>
        <patternFill>
          <bgColor rgb="FFFFFF99"/>
        </patternFill>
      </fill>
      <border>
        <left style="thin">
          <color auto="1"/>
        </left>
        <right style="thin">
          <color auto="1"/>
        </right>
        <top style="thin">
          <color auto="1"/>
        </top>
        <bottom style="thin">
          <color auto="1"/>
        </bottom>
      </border>
    </dxf>
    <dxf>
      <font>
        <strike val="0"/>
        <color theme="0" tint="-0.34998626667073579"/>
      </font>
      <fill>
        <patternFill>
          <bgColor theme="0" tint="-0.499984740745262"/>
        </patternFill>
      </fill>
    </dxf>
    <dxf>
      <font>
        <b val="0"/>
        <i val="0"/>
        <color theme="0"/>
      </font>
      <fill>
        <patternFill>
          <bgColor theme="1" tint="0.499984740745262"/>
        </patternFill>
      </fill>
    </dxf>
    <dxf>
      <font>
        <color theme="0" tint="-0.34998626667073579"/>
      </font>
      <fill>
        <patternFill>
          <bgColor theme="1" tint="0.499984740745262"/>
        </patternFill>
      </fill>
      <border>
        <left style="thin">
          <color auto="1"/>
        </left>
        <right style="thin">
          <color auto="1"/>
        </right>
        <top style="thin">
          <color auto="1"/>
        </top>
        <bottom style="thin">
          <color auto="1"/>
        </bottom>
      </border>
    </dxf>
    <dxf>
      <fill>
        <patternFill>
          <bgColor rgb="FFFFFF99"/>
        </patternFill>
      </fill>
      <border>
        <left style="thin">
          <color auto="1"/>
        </left>
        <right style="thin">
          <color auto="1"/>
        </right>
        <top style="thin">
          <color auto="1"/>
        </top>
        <bottom style="thin">
          <color auto="1"/>
        </bottom>
      </border>
    </dxf>
    <dxf>
      <fill>
        <patternFill>
          <bgColor rgb="FFFFFF99"/>
        </patternFill>
      </fill>
      <border>
        <left style="thin">
          <color auto="1"/>
        </left>
        <right style="thin">
          <color auto="1"/>
        </right>
        <top style="thin">
          <color auto="1"/>
        </top>
        <bottom style="thin">
          <color auto="1"/>
        </bottom>
        <vertical/>
        <horizontal/>
      </border>
    </dxf>
    <dxf>
      <font>
        <color theme="0" tint="-0.34998626667073579"/>
      </font>
      <fill>
        <patternFill>
          <bgColor theme="0" tint="-0.499984740745262"/>
        </patternFill>
      </fill>
    </dxf>
    <dxf>
      <fill>
        <patternFill>
          <bgColor rgb="FFFFFF99"/>
        </patternFill>
      </fill>
      <border>
        <left style="thin">
          <color auto="1"/>
        </left>
        <right style="thin">
          <color auto="1"/>
        </right>
        <top style="thin">
          <color auto="1"/>
        </top>
        <bottom style="thin">
          <color auto="1"/>
        </bottom>
      </border>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dxf>
    <dxf>
      <font>
        <strike/>
        <color theme="0" tint="-0.34998626667073579"/>
      </font>
      <fill>
        <patternFill patternType="none">
          <bgColor auto="1"/>
        </patternFill>
      </fill>
      <border>
        <left style="thin">
          <color auto="1"/>
        </left>
        <right style="thin">
          <color auto="1"/>
        </right>
        <top style="thin">
          <color auto="1"/>
        </top>
        <bottom style="thin">
          <color auto="1"/>
        </bottom>
      </border>
    </dxf>
    <dxf>
      <font>
        <strike/>
        <color theme="0" tint="-0.34998626667073579"/>
      </font>
      <fill>
        <patternFill patternType="none">
          <bgColor auto="1"/>
        </patternFill>
      </fill>
    </dxf>
    <dxf>
      <font>
        <strike/>
        <color theme="0" tint="-0.34998626667073579"/>
      </font>
      <fill>
        <patternFill patternType="none">
          <bgColor auto="1"/>
        </patternFill>
      </fill>
      <border>
        <left style="thin">
          <color auto="1"/>
        </left>
        <right style="thin">
          <color auto="1"/>
        </right>
        <top style="thin">
          <color auto="1"/>
        </top>
        <bottom style="thin">
          <color auto="1"/>
        </bottom>
      </border>
    </dxf>
    <dxf>
      <font>
        <strike/>
        <color theme="0" tint="-0.34998626667073579"/>
      </font>
      <fill>
        <patternFill patternType="none">
          <bgColor auto="1"/>
        </patternFill>
      </fill>
      <border>
        <left/>
        <right/>
        <top/>
        <bottom/>
      </border>
    </dxf>
    <dxf>
      <font>
        <strike/>
        <color theme="0" tint="-0.34998626667073579"/>
      </font>
      <fill>
        <patternFill patternType="none">
          <bgColor auto="1"/>
        </patternFill>
      </fill>
    </dxf>
    <dxf>
      <font>
        <strike/>
        <color theme="0" tint="-0.34998626667073579"/>
      </font>
      <fill>
        <patternFill patternType="none">
          <bgColor auto="1"/>
        </patternFill>
      </fill>
    </dxf>
    <dxf>
      <font>
        <b val="0"/>
        <i val="0"/>
        <color auto="1"/>
      </font>
      <fill>
        <patternFill patternType="none">
          <bgColor auto="1"/>
        </patternFill>
      </fill>
    </dxf>
    <dxf>
      <fill>
        <patternFill>
          <bgColor rgb="FFFFFF99"/>
        </patternFill>
      </fill>
      <border>
        <left style="thin">
          <color auto="1"/>
        </left>
        <right style="thin">
          <color auto="1"/>
        </right>
        <top style="thin">
          <color auto="1"/>
        </top>
        <bottom style="thin">
          <color auto="1"/>
        </bottom>
        <vertical/>
        <horizontal/>
      </border>
    </dxf>
    <dxf>
      <font>
        <strike/>
        <color theme="0" tint="-0.34998626667073579"/>
      </font>
      <fill>
        <patternFill patternType="none">
          <bgColor auto="1"/>
        </patternFill>
      </fill>
      <border>
        <left style="thin">
          <color auto="1"/>
        </left>
        <right style="thin">
          <color auto="1"/>
        </right>
        <top style="thin">
          <color auto="1"/>
        </top>
        <bottom style="thin">
          <color auto="1"/>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numFmt numFmtId="3" formatCode="#,##0"/>
      <fill>
        <patternFill patternType="solid">
          <fgColor indexed="64"/>
          <bgColor theme="0"/>
        </patternFill>
      </fill>
      <border diagonalUp="0" diagonalDown="0">
        <left style="thin">
          <color indexed="64"/>
        </left>
        <right style="thin">
          <color indexed="64"/>
        </right>
        <top/>
        <bottom style="thin">
          <color indexed="64"/>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top style="thin">
          <color theme="1"/>
        </top>
      </border>
    </dxf>
  </dxfs>
  <tableStyles count="0" defaultTableStyle="TableStyleMedium2" defaultPivotStyle="PivotStyleLight16"/>
  <colors>
    <mruColors>
      <color rgb="FF42536B"/>
      <color rgb="FFCAD3E0"/>
      <color rgb="FFE2E7EE"/>
      <color rgb="FFAAB9CB"/>
      <color rgb="FFFFFF99"/>
      <color rgb="FF0563C1"/>
      <color rgb="FF90AB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Ex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Benchmark digital health intervention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2"/>
          <c:order val="0"/>
          <c:tx>
            <c:strRef>
              <c:f>Benchmarking!$D$46</c:f>
              <c:strCache>
                <c:ptCount val="1"/>
                <c:pt idx="0">
                  <c:v>Benchmark digital health intervention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33-476A-8C74-49A2E30DDD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D750-453D-9D49-91679A3B34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33-476A-8C74-49A2E30DDD6C}"/>
              </c:ext>
            </c:extLst>
          </c:dPt>
          <c:dLbls>
            <c:dLbl>
              <c:idx val="0"/>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133-476A-8C74-49A2E30DDD6C}"/>
                </c:ext>
              </c:extLst>
            </c:dLbl>
            <c:dLbl>
              <c:idx val="1"/>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750-453D-9D49-91679A3B3465}"/>
                </c:ext>
              </c:extLst>
            </c:dLbl>
            <c:dLbl>
              <c:idx val="2"/>
              <c:dLblPos val="ct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133-476A-8C74-49A2E30DDD6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Benchmarking!$B$47:$B$49</c:f>
              <c:strCache>
                <c:ptCount val="3"/>
                <c:pt idx="0">
                  <c:v>Development</c:v>
                </c:pt>
                <c:pt idx="1">
                  <c:v>Deployment</c:v>
                </c:pt>
                <c:pt idx="2">
                  <c:v>Operations</c:v>
                </c:pt>
              </c:strCache>
            </c:strRef>
          </c:cat>
          <c:val>
            <c:numRef>
              <c:f>Benchmarking!$D$47:$D$49</c:f>
              <c:numCache>
                <c:formatCode>#,#00;;;</c:formatCode>
                <c:ptCount val="3"/>
                <c:pt idx="0">
                  <c:v>751000</c:v>
                </c:pt>
                <c:pt idx="1">
                  <c:v>1294278</c:v>
                </c:pt>
                <c:pt idx="2">
                  <c:v>2233015</c:v>
                </c:pt>
              </c:numCache>
            </c:numRef>
          </c:val>
          <c:extLst>
            <c:ext xmlns:c16="http://schemas.microsoft.com/office/drawing/2014/chart" uri="{C3380CC4-5D6E-409C-BE32-E72D297353CC}">
              <c16:uniqueId val="{0000000E-D750-453D-9D49-91679A3B346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User Digital</a:t>
            </a:r>
            <a:r>
              <a:rPr lang="en-US" baseline="0"/>
              <a:t> Health Intervention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Benchmarking!$C$46</c:f>
              <c:strCache>
                <c:ptCount val="1"/>
                <c:pt idx="0">
                  <c:v>User digital health intervention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18-46D5-989A-CCAC4A9C1C2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18-46D5-989A-CCAC4A9C1C2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E18-46D5-989A-CCAC4A9C1C2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Benchmarking!$B$47:$B$49</c:f>
              <c:strCache>
                <c:ptCount val="3"/>
                <c:pt idx="0">
                  <c:v>Development</c:v>
                </c:pt>
                <c:pt idx="1">
                  <c:v>Deployment</c:v>
                </c:pt>
                <c:pt idx="2">
                  <c:v>Operations</c:v>
                </c:pt>
              </c:strCache>
            </c:strRef>
          </c:cat>
          <c:val>
            <c:numRef>
              <c:f>Benchmarking!$C$47:$C$49</c:f>
              <c:numCache>
                <c:formatCode>#,#00;;;</c:formatCode>
                <c:ptCount val="3"/>
                <c:pt idx="0">
                  <c:v>0</c:v>
                </c:pt>
                <c:pt idx="1">
                  <c:v>0</c:v>
                </c:pt>
                <c:pt idx="2">
                  <c:v>0</c:v>
                </c:pt>
              </c:numCache>
            </c:numRef>
          </c:val>
          <c:extLst>
            <c:ext xmlns:c16="http://schemas.microsoft.com/office/drawing/2014/chart" uri="{C3380CC4-5D6E-409C-BE32-E72D297353CC}">
              <c16:uniqueId val="{00000000-011E-4FD8-96C5-316CBBB564EC}"/>
            </c:ext>
          </c:extLst>
        </c:ser>
        <c:dLbls>
          <c:dLblPos val="ctr"/>
          <c:showLegendKey val="0"/>
          <c:showVal val="1"/>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Tool input data compared</a:t>
            </a:r>
            <a:r>
              <a:rPr lang="en-US" baseline="0"/>
              <a:t> to reference case</a:t>
            </a:r>
            <a:endParaRPr lang="en-US"/>
          </a:p>
        </c:rich>
      </c:tx>
      <c:layout>
        <c:manualLayout>
          <c:xMode val="edge"/>
          <c:yMode val="edge"/>
          <c:x val="0.19773267796122365"/>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'LMIS TCO'!$M$42</c:f>
              <c:strCache>
                <c:ptCount val="1"/>
                <c:pt idx="0">
                  <c:v>Phase III: Operations </c:v>
                </c:pt>
              </c:strCache>
            </c:strRef>
          </c:tx>
          <c:spPr>
            <a:solidFill>
              <a:schemeClr val="accent1"/>
            </a:solidFill>
            <a:ln>
              <a:noFill/>
            </a:ln>
            <a:effectLst/>
          </c:spPr>
          <c:invertIfNegative val="0"/>
          <c:dLbls>
            <c:dLbl>
              <c:idx val="0"/>
              <c:tx>
                <c:rich>
                  <a:bodyPr/>
                  <a:lstStyle/>
                  <a:p>
                    <a:r>
                      <a:rPr lang="en-US"/>
                      <a:t>15%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485-485B-826D-6F695C2253F3}"/>
                </c:ext>
              </c:extLst>
            </c:dLbl>
            <c:dLbl>
              <c:idx val="1"/>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485-485B-826D-6F695C2253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'LMIS TCO'!$N$41:$O$41</c:f>
              <c:numCache>
                <c:formatCode>_(* #,##0_);_(* \(#,##0\);_(* "-"??_);_(@_)</c:formatCode>
                <c:ptCount val="2"/>
                <c:pt idx="0">
                  <c:v>1989338</c:v>
                </c:pt>
                <c:pt idx="1">
                  <c:v>1989338</c:v>
                </c:pt>
              </c:numCache>
            </c:numRef>
          </c:cat>
          <c:val>
            <c:numRef>
              <c:f>'LMIS TCO'!$N$42:$O$42</c:f>
              <c:numCache>
                <c:formatCode>_(* #,##0_);_(* \(#,##0\);_(* "-"??_);_(@_)</c:formatCode>
                <c:ptCount val="2"/>
                <c:pt idx="0">
                  <c:v>2121661</c:v>
                </c:pt>
                <c:pt idx="1">
                  <c:v>2233015</c:v>
                </c:pt>
              </c:numCache>
            </c:numRef>
          </c:val>
          <c:extLst>
            <c:ext xmlns:c16="http://schemas.microsoft.com/office/drawing/2014/chart" uri="{C3380CC4-5D6E-409C-BE32-E72D297353CC}">
              <c16:uniqueId val="{00000000-9485-485B-826D-6F695C2253F3}"/>
            </c:ext>
          </c:extLst>
        </c:ser>
        <c:ser>
          <c:idx val="1"/>
          <c:order val="1"/>
          <c:tx>
            <c:strRef>
              <c:f>'LMIS TCO'!$M$43</c:f>
              <c:strCache>
                <c:ptCount val="1"/>
                <c:pt idx="0">
                  <c:v>Phase I: Development</c:v>
                </c:pt>
              </c:strCache>
            </c:strRef>
          </c:tx>
          <c:spPr>
            <a:solidFill>
              <a:schemeClr val="accent2"/>
            </a:solidFill>
            <a:ln>
              <a:noFill/>
            </a:ln>
            <a:effectLst/>
          </c:spPr>
          <c:invertIfNegative val="0"/>
          <c:dLbls>
            <c:dLbl>
              <c:idx val="0"/>
              <c:tx>
                <c:rich>
                  <a:bodyPr/>
                  <a:lstStyle/>
                  <a:p>
                    <a:r>
                      <a:rPr lang="en-US"/>
                      <a:t>27%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485-485B-826D-6F695C2253F3}"/>
                </c:ext>
              </c:extLst>
            </c:dLbl>
            <c:dLbl>
              <c:idx val="1"/>
              <c:layout>
                <c:manualLayout>
                  <c:x val="2.503476777296028E-3"/>
                  <c:y val="4.6296296296297144E-3"/>
                </c:manualLayout>
              </c:layout>
              <c:tx>
                <c:rich>
                  <a:bodyPr/>
                  <a:lstStyle/>
                  <a:p>
                    <a:r>
                      <a:rPr lang="en-US"/>
                      <a:t>27%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485-485B-826D-6F695C2253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'LMIS TCO'!$N$41:$O$41</c:f>
              <c:numCache>
                <c:formatCode>_(* #,##0_);_(* \(#,##0\);_(* "-"??_);_(@_)</c:formatCode>
                <c:ptCount val="2"/>
                <c:pt idx="0">
                  <c:v>1989338</c:v>
                </c:pt>
                <c:pt idx="1">
                  <c:v>1989338</c:v>
                </c:pt>
              </c:numCache>
            </c:numRef>
          </c:cat>
          <c:val>
            <c:numRef>
              <c:f>'LMIS TCO'!$N$43:$O$43</c:f>
              <c:numCache>
                <c:formatCode>0%</c:formatCode>
                <c:ptCount val="2"/>
                <c:pt idx="0">
                  <c:v>0.12884088341616518</c:v>
                </c:pt>
                <c:pt idx="1">
                  <c:v>0.15100476479349043</c:v>
                </c:pt>
              </c:numCache>
            </c:numRef>
          </c:val>
          <c:extLst>
            <c:ext xmlns:c16="http://schemas.microsoft.com/office/drawing/2014/chart" uri="{C3380CC4-5D6E-409C-BE32-E72D297353CC}">
              <c16:uniqueId val="{00000001-9485-485B-826D-6F695C2253F3}"/>
            </c:ext>
          </c:extLst>
        </c:ser>
        <c:ser>
          <c:idx val="2"/>
          <c:order val="2"/>
          <c:tx>
            <c:strRef>
              <c:f>'LMIS TCO'!#REF!</c:f>
              <c:strCache>
                <c:ptCount val="1"/>
                <c:pt idx="0">
                  <c:v>#REF!</c:v>
                </c:pt>
              </c:strCache>
            </c:strRef>
          </c:tx>
          <c:spPr>
            <a:solidFill>
              <a:schemeClr val="accent3"/>
            </a:solidFill>
            <a:ln>
              <a:noFill/>
            </a:ln>
            <a:effectLst/>
          </c:spPr>
          <c:invertIfNegative val="0"/>
          <c:cat>
            <c:numRef>
              <c:f>'LMIS TCO'!$N$41:$O$41</c:f>
              <c:numCache>
                <c:formatCode>_(* #,##0_);_(* \(#,##0\);_(* "-"??_);_(@_)</c:formatCode>
                <c:ptCount val="2"/>
                <c:pt idx="0">
                  <c:v>1989338</c:v>
                </c:pt>
                <c:pt idx="1">
                  <c:v>1989338</c:v>
                </c:pt>
              </c:numCache>
            </c:numRef>
          </c:cat>
          <c:val>
            <c:numRef>
              <c:f>'LMIS TCO'!#REF!</c:f>
              <c:numCache>
                <c:formatCode>General</c:formatCode>
                <c:ptCount val="1"/>
                <c:pt idx="0">
                  <c:v>1</c:v>
                </c:pt>
              </c:numCache>
            </c:numRef>
          </c:val>
          <c:extLst>
            <c:ext xmlns:c16="http://schemas.microsoft.com/office/drawing/2014/chart" uri="{C3380CC4-5D6E-409C-BE32-E72D297353CC}">
              <c16:uniqueId val="{00000003-9485-485B-826D-6F695C2253F3}"/>
            </c:ext>
          </c:extLst>
        </c:ser>
        <c:ser>
          <c:idx val="3"/>
          <c:order val="3"/>
          <c:tx>
            <c:strRef>
              <c:f>'LMIS TCO'!$M$44</c:f>
              <c:strCache>
                <c:ptCount val="1"/>
                <c:pt idx="0">
                  <c:v>Phase II: Deployment </c:v>
                </c:pt>
              </c:strCache>
            </c:strRef>
          </c:tx>
          <c:spPr>
            <a:solidFill>
              <a:schemeClr val="accent4"/>
            </a:solidFill>
            <a:ln>
              <a:noFill/>
            </a:ln>
            <a:effectLst/>
          </c:spPr>
          <c:invertIfNegative val="0"/>
          <c:dLbls>
            <c:dLbl>
              <c:idx val="0"/>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485-485B-826D-6F695C2253F3}"/>
                </c:ext>
              </c:extLst>
            </c:dLbl>
            <c:dLbl>
              <c:idx val="1"/>
              <c:tx>
                <c:rich>
                  <a:bodyPr/>
                  <a:lstStyle/>
                  <a:p>
                    <a:r>
                      <a:rPr lang="en-US"/>
                      <a:t>47%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485-485B-826D-6F695C2253F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'LMIS TCO'!$N$41:$O$41</c:f>
              <c:numCache>
                <c:formatCode>_(* #,##0_);_(* \(#,##0\);_(* "-"??_);_(@_)</c:formatCode>
                <c:ptCount val="2"/>
                <c:pt idx="0">
                  <c:v>1989338</c:v>
                </c:pt>
                <c:pt idx="1">
                  <c:v>1989338</c:v>
                </c:pt>
              </c:numCache>
            </c:numRef>
          </c:cat>
          <c:val>
            <c:numRef>
              <c:f>'LMIS TCO'!$N$44:$O$44</c:f>
              <c:numCache>
                <c:formatCode>0%</c:formatCode>
                <c:ptCount val="2"/>
                <c:pt idx="0">
                  <c:v>0.42155931798247892</c:v>
                </c:pt>
                <c:pt idx="1">
                  <c:v>0.39999935657090901</c:v>
                </c:pt>
              </c:numCache>
            </c:numRef>
          </c:val>
          <c:extLst>
            <c:ext xmlns:c16="http://schemas.microsoft.com/office/drawing/2014/chart" uri="{C3380CC4-5D6E-409C-BE32-E72D297353CC}">
              <c16:uniqueId val="{00000004-9485-485B-826D-6F695C2253F3}"/>
            </c:ext>
          </c:extLst>
        </c:ser>
        <c:dLbls>
          <c:showLegendKey val="0"/>
          <c:showVal val="0"/>
          <c:showCatName val="0"/>
          <c:showSerName val="0"/>
          <c:showPercent val="0"/>
          <c:showBubbleSize val="0"/>
        </c:dLbls>
        <c:gapWidth val="150"/>
        <c:overlap val="100"/>
        <c:axId val="741637128"/>
        <c:axId val="741642376"/>
      </c:barChart>
      <c:catAx>
        <c:axId val="741637128"/>
        <c:scaling>
          <c:orientation val="minMax"/>
        </c:scaling>
        <c:delete val="0"/>
        <c:axPos val="b"/>
        <c:numFmt formatCode="_(* #,##0_);_(* \(#,##0\);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42376"/>
        <c:crosses val="autoZero"/>
        <c:auto val="1"/>
        <c:lblAlgn val="ctr"/>
        <c:lblOffset val="100"/>
        <c:noMultiLvlLbl val="0"/>
      </c:catAx>
      <c:valAx>
        <c:axId val="7416423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371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Tool input data versus reference case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Phase I: Development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Tool Data</c:v>
              </c:pt>
              <c:pt idx="1">
                <c:v>Reference</c:v>
              </c:pt>
            </c:strLit>
          </c:cat>
          <c:val>
            <c:numLit>
              <c:formatCode>General</c:formatCode>
              <c:ptCount val="2"/>
              <c:pt idx="0">
                <c:v>0.15446321564442939</c:v>
              </c:pt>
              <c:pt idx="1">
                <c:v>0.15100476479349043</c:v>
              </c:pt>
            </c:numLit>
          </c:val>
          <c:extLst>
            <c:ext xmlns:c16="http://schemas.microsoft.com/office/drawing/2014/chart" uri="{C3380CC4-5D6E-409C-BE32-E72D297353CC}">
              <c16:uniqueId val="{00000000-BAEA-4D7C-BC36-4BCC8687F92B}"/>
            </c:ext>
          </c:extLst>
        </c:ser>
        <c:ser>
          <c:idx val="1"/>
          <c:order val="1"/>
          <c:tx>
            <c:v>Phase II: Deployment </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Tool Data</c:v>
              </c:pt>
              <c:pt idx="1">
                <c:v>Reference</c:v>
              </c:pt>
            </c:strLit>
          </c:cat>
          <c:val>
            <c:numLit>
              <c:formatCode>General</c:formatCode>
              <c:ptCount val="2"/>
              <c:pt idx="0">
                <c:v>0.40916051196226078</c:v>
              </c:pt>
              <c:pt idx="1">
                <c:v>0.39999935657090901</c:v>
              </c:pt>
            </c:numLit>
          </c:val>
          <c:extLst>
            <c:ext xmlns:c16="http://schemas.microsoft.com/office/drawing/2014/chart" uri="{C3380CC4-5D6E-409C-BE32-E72D297353CC}">
              <c16:uniqueId val="{00000001-BAEA-4D7C-BC36-4BCC8687F92B}"/>
            </c:ext>
          </c:extLst>
        </c:ser>
        <c:ser>
          <c:idx val="3"/>
          <c:order val="2"/>
          <c:tx>
            <c:v>Phase III: Operations </c:v>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Tool Data</c:v>
              </c:pt>
              <c:pt idx="1">
                <c:v>Reference</c:v>
              </c:pt>
            </c:strLit>
          </c:cat>
          <c:val>
            <c:numLit>
              <c:formatCode>General</c:formatCode>
              <c:ptCount val="2"/>
              <c:pt idx="0">
                <c:v>0.43637627239330984</c:v>
              </c:pt>
              <c:pt idx="1">
                <c:v>0.44899587863560059</c:v>
              </c:pt>
            </c:numLit>
          </c:val>
          <c:extLst>
            <c:ext xmlns:c16="http://schemas.microsoft.com/office/drawing/2014/chart" uri="{C3380CC4-5D6E-409C-BE32-E72D297353CC}">
              <c16:uniqueId val="{00000002-BAEA-4D7C-BC36-4BCC8687F92B}"/>
            </c:ext>
          </c:extLst>
        </c:ser>
        <c:dLbls>
          <c:dLblPos val="ctr"/>
          <c:showLegendKey val="0"/>
          <c:showVal val="1"/>
          <c:showCatName val="0"/>
          <c:showSerName val="0"/>
          <c:showPercent val="0"/>
          <c:showBubbleSize val="0"/>
        </c:dLbls>
        <c:gapWidth val="55"/>
        <c:overlap val="100"/>
        <c:axId val="450974720"/>
        <c:axId val="450966520"/>
      </c:barChart>
      <c:catAx>
        <c:axId val="45097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966520"/>
        <c:crosses val="autoZero"/>
        <c:auto val="1"/>
        <c:lblAlgn val="ctr"/>
        <c:lblOffset val="100"/>
        <c:noMultiLvlLbl val="0"/>
      </c:catAx>
      <c:valAx>
        <c:axId val="450966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9747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Tool input data compared</a:t>
            </a:r>
            <a:r>
              <a:rPr lang="en-US" baseline="0"/>
              <a:t> to reference case</a:t>
            </a:r>
            <a:endParaRPr lang="en-US"/>
          </a:p>
        </c:rich>
      </c:tx>
      <c:layout>
        <c:manualLayout>
          <c:xMode val="edge"/>
          <c:yMode val="edge"/>
          <c:x val="0.19773267796122365"/>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Phase I: Development</c:v>
          </c:tx>
          <c:spPr>
            <a:solidFill>
              <a:schemeClr val="accent1"/>
            </a:solidFill>
            <a:ln>
              <a:noFill/>
            </a:ln>
            <a:effectLst/>
          </c:spPr>
          <c:invertIfNegative val="0"/>
          <c:dLbls>
            <c:dLbl>
              <c:idx val="0"/>
              <c:tx>
                <c:rich>
                  <a:bodyPr/>
                  <a:lstStyle/>
                  <a:p>
                    <a:r>
                      <a:rPr lang="en-US"/>
                      <a:t>15%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7483-4D6B-859D-9B217E9E14B7}"/>
                </c:ext>
              </c:extLst>
            </c:dLbl>
            <c:dLbl>
              <c:idx val="1"/>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7483-4D6B-859D-9B217E9E14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Tool Data</c:v>
              </c:pt>
              <c:pt idx="1">
                <c:v>Reference</c:v>
              </c:pt>
            </c:strLit>
          </c:cat>
          <c:val>
            <c:numLit>
              <c:formatCode>General</c:formatCode>
              <c:ptCount val="2"/>
              <c:pt idx="0">
                <c:v>751000</c:v>
              </c:pt>
              <c:pt idx="1">
                <c:v>751000</c:v>
              </c:pt>
            </c:numLit>
          </c:val>
          <c:extLst>
            <c:ext xmlns:c16="http://schemas.microsoft.com/office/drawing/2014/chart" uri="{C3380CC4-5D6E-409C-BE32-E72D297353CC}">
              <c16:uniqueId val="{00000002-7483-4D6B-859D-9B217E9E14B7}"/>
            </c:ext>
          </c:extLst>
        </c:ser>
        <c:ser>
          <c:idx val="1"/>
          <c:order val="1"/>
          <c:tx>
            <c:v>Phase II: Deployment </c:v>
          </c:tx>
          <c:spPr>
            <a:solidFill>
              <a:schemeClr val="accent2"/>
            </a:solidFill>
            <a:ln>
              <a:noFill/>
            </a:ln>
            <a:effectLst/>
          </c:spPr>
          <c:invertIfNegative val="0"/>
          <c:dLbls>
            <c:dLbl>
              <c:idx val="0"/>
              <c:tx>
                <c:rich>
                  <a:bodyPr/>
                  <a:lstStyle/>
                  <a:p>
                    <a:r>
                      <a:rPr lang="en-US"/>
                      <a:t>27%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7483-4D6B-859D-9B217E9E14B7}"/>
                </c:ext>
              </c:extLst>
            </c:dLbl>
            <c:dLbl>
              <c:idx val="1"/>
              <c:layout>
                <c:manualLayout>
                  <c:x val="2.503476777296028E-3"/>
                  <c:y val="4.6296296296297144E-3"/>
                </c:manualLayout>
              </c:layout>
              <c:tx>
                <c:rich>
                  <a:bodyPr/>
                  <a:lstStyle/>
                  <a:p>
                    <a:r>
                      <a:rPr lang="en-US"/>
                      <a:t>27%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7483-4D6B-859D-9B217E9E14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Tool Data</c:v>
              </c:pt>
              <c:pt idx="1">
                <c:v>Reference</c:v>
              </c:pt>
            </c:strLit>
          </c:cat>
          <c:val>
            <c:numLit>
              <c:formatCode>General</c:formatCode>
              <c:ptCount val="2"/>
              <c:pt idx="0">
                <c:v>1989338</c:v>
              </c:pt>
              <c:pt idx="1">
                <c:v>1989338</c:v>
              </c:pt>
            </c:numLit>
          </c:val>
          <c:extLst>
            <c:ext xmlns:c16="http://schemas.microsoft.com/office/drawing/2014/chart" uri="{C3380CC4-5D6E-409C-BE32-E72D297353CC}">
              <c16:uniqueId val="{00000005-7483-4D6B-859D-9B217E9E14B7}"/>
            </c:ext>
          </c:extLst>
        </c:ser>
        <c:ser>
          <c:idx val="2"/>
          <c:order val="2"/>
          <c:tx>
            <c:strRef>
              <c:f>'LMIS TCO'!#REF!</c:f>
              <c:strCache>
                <c:ptCount val="1"/>
                <c:pt idx="0">
                  <c:v>#REF!</c:v>
                </c:pt>
              </c:strCache>
            </c:strRef>
          </c:tx>
          <c:spPr>
            <a:solidFill>
              <a:schemeClr val="accent3"/>
            </a:solidFill>
            <a:ln>
              <a:noFill/>
            </a:ln>
            <a:effectLst/>
          </c:spPr>
          <c:invertIfNegative val="0"/>
          <c:cat>
            <c:strLit>
              <c:ptCount val="2"/>
              <c:pt idx="0">
                <c:v>Tool Data</c:v>
              </c:pt>
              <c:pt idx="1">
                <c:v>Reference</c:v>
              </c:pt>
            </c:strLit>
          </c:cat>
          <c:val>
            <c:numRef>
              <c:f>'LMIS TCO'!#REF!</c:f>
              <c:numCache>
                <c:formatCode>General</c:formatCode>
                <c:ptCount val="1"/>
                <c:pt idx="0">
                  <c:v>1</c:v>
                </c:pt>
              </c:numCache>
            </c:numRef>
          </c:val>
          <c:extLst>
            <c:ext xmlns:c16="http://schemas.microsoft.com/office/drawing/2014/chart" uri="{C3380CC4-5D6E-409C-BE32-E72D297353CC}">
              <c16:uniqueId val="{00000006-7483-4D6B-859D-9B217E9E14B7}"/>
            </c:ext>
          </c:extLst>
        </c:ser>
        <c:ser>
          <c:idx val="3"/>
          <c:order val="3"/>
          <c:tx>
            <c:v>Phase III: Operations </c:v>
          </c:tx>
          <c:spPr>
            <a:solidFill>
              <a:schemeClr val="accent4"/>
            </a:solidFill>
            <a:ln>
              <a:noFill/>
            </a:ln>
            <a:effectLst/>
          </c:spPr>
          <c:invertIfNegative val="0"/>
          <c:dLbls>
            <c:dLbl>
              <c:idx val="0"/>
              <c:tx>
                <c:rich>
                  <a:bodyPr/>
                  <a:lstStyle/>
                  <a:p>
                    <a:r>
                      <a:rPr lang="en-US"/>
                      <a:t>44%</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7483-4D6B-859D-9B217E9E14B7}"/>
                </c:ext>
              </c:extLst>
            </c:dLbl>
            <c:dLbl>
              <c:idx val="1"/>
              <c:tx>
                <c:rich>
                  <a:bodyPr/>
                  <a:lstStyle/>
                  <a:p>
                    <a:r>
                      <a:rPr lang="en-US"/>
                      <a:t>47%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7483-4D6B-859D-9B217E9E14B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Tool Data</c:v>
              </c:pt>
              <c:pt idx="1">
                <c:v>Reference</c:v>
              </c:pt>
            </c:strLit>
          </c:cat>
          <c:val>
            <c:numLit>
              <c:formatCode>General</c:formatCode>
              <c:ptCount val="2"/>
              <c:pt idx="0">
                <c:v>2121661</c:v>
              </c:pt>
              <c:pt idx="1">
                <c:v>2233015</c:v>
              </c:pt>
            </c:numLit>
          </c:val>
          <c:extLst>
            <c:ext xmlns:c16="http://schemas.microsoft.com/office/drawing/2014/chart" uri="{C3380CC4-5D6E-409C-BE32-E72D297353CC}">
              <c16:uniqueId val="{00000009-7483-4D6B-859D-9B217E9E14B7}"/>
            </c:ext>
          </c:extLst>
        </c:ser>
        <c:dLbls>
          <c:showLegendKey val="0"/>
          <c:showVal val="0"/>
          <c:showCatName val="0"/>
          <c:showSerName val="0"/>
          <c:showPercent val="0"/>
          <c:showBubbleSize val="0"/>
        </c:dLbls>
        <c:gapWidth val="150"/>
        <c:overlap val="100"/>
        <c:axId val="741637128"/>
        <c:axId val="741642376"/>
      </c:barChart>
      <c:catAx>
        <c:axId val="741637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42376"/>
        <c:crosses val="autoZero"/>
        <c:auto val="1"/>
        <c:lblAlgn val="ctr"/>
        <c:lblOffset val="100"/>
        <c:noMultiLvlLbl val="0"/>
      </c:catAx>
      <c:valAx>
        <c:axId val="741642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371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Reference</a:t>
            </a:r>
            <a:r>
              <a:rPr lang="en-US" baseline="0"/>
              <a:t> case cost breakdown </a:t>
            </a:r>
          </a:p>
          <a:p>
            <a:pPr>
              <a:defRPr/>
            </a:pPr>
            <a:r>
              <a:rPr lang="en-US" baseline="0"/>
              <a:t>(LMIS)</a:t>
            </a:r>
            <a:endParaRPr lang="en-US"/>
          </a:p>
        </c:rich>
      </c:tx>
      <c:layout>
        <c:manualLayout>
          <c:xMode val="edge"/>
          <c:yMode val="edge"/>
          <c:x val="2.3381889763779563E-2"/>
          <c:y val="5.09259259259259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1497550306211728"/>
          <c:y val="0.18046843102945465"/>
          <c:w val="0.45060454943132106"/>
          <c:h val="0.7510075823855351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8BF-4121-9ACA-3989D7CEE43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8BF-4121-9ACA-3989D7CEE43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8BF-4121-9ACA-3989D7CEE43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'LMIS TCO_TZ Reference'!$C$41:$C$43</c:f>
              <c:strCache>
                <c:ptCount val="3"/>
                <c:pt idx="0">
                  <c:v>I. Development Phase</c:v>
                </c:pt>
                <c:pt idx="1">
                  <c:v>II. Deployment Phase</c:v>
                </c:pt>
                <c:pt idx="2">
                  <c:v>III. Operational Phase</c:v>
                </c:pt>
              </c:strCache>
            </c:strRef>
          </c:cat>
          <c:val>
            <c:numRef>
              <c:f>'LMIS TCO_TZ Reference'!$E$41:$E$43</c:f>
              <c:numCache>
                <c:formatCode>0%</c:formatCode>
                <c:ptCount val="3"/>
                <c:pt idx="0">
                  <c:v>0.15719212582570344</c:v>
                </c:pt>
                <c:pt idx="1">
                  <c:v>0.37541456545168245</c:v>
                </c:pt>
                <c:pt idx="2">
                  <c:v>0.46739330872261409</c:v>
                </c:pt>
              </c:numCache>
            </c:numRef>
          </c:val>
          <c:extLst>
            <c:ext xmlns:c16="http://schemas.microsoft.com/office/drawing/2014/chart" uri="{C3380CC4-5D6E-409C-BE32-E72D297353CC}">
              <c16:uniqueId val="{00000008-B8BF-4121-9ACA-3989D7CEE433}"/>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scatterChart>
        <c:scatterStyle val="lineMarker"/>
        <c:varyColors val="0"/>
        <c:ser>
          <c:idx val="0"/>
          <c:order val="0"/>
          <c:tx>
            <c:strRef>
              <c:f>'Variance by % of TCO'!$M$3</c:f>
              <c:strCache>
                <c:ptCount val="1"/>
                <c:pt idx="0">
                  <c:v>Tanzania</c:v>
                </c:pt>
              </c:strCache>
            </c:strRef>
          </c:tx>
          <c:spPr>
            <a:ln w="25400" cap="rnd">
              <a:noFill/>
              <a:round/>
            </a:ln>
            <a:effectLst/>
          </c:spPr>
          <c:marker>
            <c:symbol val="circle"/>
            <c:size val="5"/>
            <c:spPr>
              <a:solidFill>
                <a:schemeClr val="accent1"/>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'Variance by % of TCO'!$N$2:$P$2</c:f>
              <c:strCache>
                <c:ptCount val="3"/>
                <c:pt idx="0">
                  <c:v>Development Cost</c:v>
                </c:pt>
                <c:pt idx="1">
                  <c:v>Deployment Cost</c:v>
                </c:pt>
                <c:pt idx="2">
                  <c:v>Operations Cost</c:v>
                </c:pt>
              </c:strCache>
            </c:strRef>
          </c:xVal>
          <c:yVal>
            <c:numRef>
              <c:f>'Variance by % of TCO'!$N$3:$P$3</c:f>
              <c:numCache>
                <c:formatCode>0%</c:formatCode>
                <c:ptCount val="3"/>
                <c:pt idx="0">
                  <c:v>0.37541456545168245</c:v>
                </c:pt>
                <c:pt idx="1">
                  <c:v>0.15719212582570344</c:v>
                </c:pt>
                <c:pt idx="2">
                  <c:v>0.46739330872261409</c:v>
                </c:pt>
              </c:numCache>
            </c:numRef>
          </c:yVal>
          <c:smooth val="0"/>
          <c:extLst>
            <c:ext xmlns:c16="http://schemas.microsoft.com/office/drawing/2014/chart" uri="{C3380CC4-5D6E-409C-BE32-E72D297353CC}">
              <c16:uniqueId val="{00000000-B5E4-4E47-B189-C0F138B81BFB}"/>
            </c:ext>
          </c:extLst>
        </c:ser>
        <c:ser>
          <c:idx val="1"/>
          <c:order val="1"/>
          <c:tx>
            <c:strRef>
              <c:f>'Variance by % of TCO'!$M$4</c:f>
              <c:strCache>
                <c:ptCount val="1"/>
                <c:pt idx="0">
                  <c:v>Ethiopia</c:v>
                </c:pt>
              </c:strCache>
            </c:strRef>
          </c:tx>
          <c:spPr>
            <a:ln w="25400" cap="rnd">
              <a:noFill/>
              <a:round/>
            </a:ln>
            <a:effectLst/>
          </c:spPr>
          <c:marker>
            <c:symbol val="circle"/>
            <c:size val="5"/>
            <c:spPr>
              <a:solidFill>
                <a:schemeClr val="accent1"/>
              </a:solidFill>
              <a:ln w="9525">
                <a:noFill/>
              </a:ln>
              <a:effectLst/>
            </c:spPr>
          </c:marker>
          <c:dLbls>
            <c:dLbl>
              <c:idx val="0"/>
              <c:layout>
                <c:manualLayout>
                  <c:x val="0"/>
                  <c:y val="2.468475567784089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B5E4-4E47-B189-C0F138B81B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'Variance by % of TCO'!$N$2:$P$2</c:f>
              <c:strCache>
                <c:ptCount val="3"/>
                <c:pt idx="0">
                  <c:v>Development Cost</c:v>
                </c:pt>
                <c:pt idx="1">
                  <c:v>Deployment Cost</c:v>
                </c:pt>
                <c:pt idx="2">
                  <c:v>Operations Cost</c:v>
                </c:pt>
              </c:strCache>
            </c:strRef>
          </c:xVal>
          <c:yVal>
            <c:numRef>
              <c:f>'Variance by % of TCO'!$N$4:$P$4</c:f>
              <c:numCache>
                <c:formatCode>0%</c:formatCode>
                <c:ptCount val="3"/>
                <c:pt idx="0">
                  <c:v>7.1770009741510155E-2</c:v>
                </c:pt>
                <c:pt idx="1">
                  <c:v>0.36032583895115328</c:v>
                </c:pt>
                <c:pt idx="2">
                  <c:v>0.56790415130733651</c:v>
                </c:pt>
              </c:numCache>
            </c:numRef>
          </c:yVal>
          <c:smooth val="0"/>
          <c:extLst>
            <c:ext xmlns:c16="http://schemas.microsoft.com/office/drawing/2014/chart" uri="{C3380CC4-5D6E-409C-BE32-E72D297353CC}">
              <c16:uniqueId val="{00000001-B5E4-4E47-B189-C0F138B81BFB}"/>
            </c:ext>
          </c:extLst>
        </c:ser>
        <c:ser>
          <c:idx val="2"/>
          <c:order val="2"/>
          <c:tx>
            <c:strRef>
              <c:f>'Variance by % of TCO'!$M$5</c:f>
              <c:strCache>
                <c:ptCount val="1"/>
                <c:pt idx="0">
                  <c:v>Mozambique</c:v>
                </c:pt>
              </c:strCache>
            </c:strRef>
          </c:tx>
          <c:spPr>
            <a:ln w="25400" cap="rnd">
              <a:noFill/>
              <a:round/>
            </a:ln>
            <a:effectLst/>
          </c:spPr>
          <c:marker>
            <c:symbol val="circle"/>
            <c:size val="5"/>
            <c:spPr>
              <a:solidFill>
                <a:schemeClr val="accent1"/>
              </a:solidFill>
              <a:ln w="9525">
                <a:noFill/>
              </a:ln>
              <a:effectLst/>
            </c:spPr>
          </c:marker>
          <c:dLbls>
            <c:dLbl>
              <c:idx val="0"/>
              <c:layout>
                <c:manualLayout>
                  <c:x val="-4.6504738631468071E-3"/>
                  <c:y val="-3.5263936682629976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B5E4-4E47-B189-C0F138B81BFB}"/>
                </c:ext>
              </c:extLst>
            </c:dLbl>
            <c:dLbl>
              <c:idx val="2"/>
              <c:layout>
                <c:manualLayout>
                  <c:x val="-6.9658597909547301E-3"/>
                  <c:y val="-3.4899275743849212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3-B5E4-4E47-B189-C0F138B81B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'Variance by % of TCO'!$N$2:$P$2</c:f>
              <c:strCache>
                <c:ptCount val="3"/>
                <c:pt idx="0">
                  <c:v>Development Cost</c:v>
                </c:pt>
                <c:pt idx="1">
                  <c:v>Deployment Cost</c:v>
                </c:pt>
                <c:pt idx="2">
                  <c:v>Operations Cost</c:v>
                </c:pt>
              </c:strCache>
            </c:strRef>
          </c:xVal>
          <c:yVal>
            <c:numRef>
              <c:f>'Variance by % of TCO'!$N$5:$P$5</c:f>
              <c:numCache>
                <c:formatCode>0%</c:formatCode>
                <c:ptCount val="3"/>
                <c:pt idx="0">
                  <c:v>0.16307501718419629</c:v>
                </c:pt>
                <c:pt idx="1">
                  <c:v>9.1609146435488051E-2</c:v>
                </c:pt>
                <c:pt idx="2">
                  <c:v>0.74531583638031562</c:v>
                </c:pt>
              </c:numCache>
            </c:numRef>
          </c:yVal>
          <c:smooth val="0"/>
          <c:extLst>
            <c:ext xmlns:c16="http://schemas.microsoft.com/office/drawing/2014/chart" uri="{C3380CC4-5D6E-409C-BE32-E72D297353CC}">
              <c16:uniqueId val="{00000002-B5E4-4E47-B189-C0F138B81BFB}"/>
            </c:ext>
          </c:extLst>
        </c:ser>
        <c:ser>
          <c:idx val="3"/>
          <c:order val="3"/>
          <c:tx>
            <c:strRef>
              <c:f>'Variance by % of TCO'!$M$6</c:f>
              <c:strCache>
                <c:ptCount val="1"/>
                <c:pt idx="0">
                  <c:v>Malawi</c:v>
                </c:pt>
              </c:strCache>
            </c:strRef>
          </c:tx>
          <c:spPr>
            <a:ln w="25400" cap="rnd">
              <a:noFill/>
              <a:round/>
            </a:ln>
            <a:effectLst/>
          </c:spPr>
          <c:marker>
            <c:symbol val="circle"/>
            <c:size val="5"/>
            <c:spPr>
              <a:solidFill>
                <a:schemeClr val="accent1"/>
              </a:solidFill>
              <a:ln w="9525">
                <a:solidFill>
                  <a:schemeClr val="accent1"/>
                </a:solidFill>
              </a:ln>
              <a:effectLst/>
            </c:spPr>
          </c:marker>
          <c:dLbls>
            <c:dLbl>
              <c:idx val="1"/>
              <c:layout>
                <c:manualLayout>
                  <c:x val="-8.5137302820503912E-17"/>
                  <c:y val="1.0469782723154762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2-B5E4-4E47-B189-C0F138B81B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'Variance by % of TCO'!$N$2:$P$2</c:f>
              <c:strCache>
                <c:ptCount val="3"/>
                <c:pt idx="0">
                  <c:v>Development Cost</c:v>
                </c:pt>
                <c:pt idx="1">
                  <c:v>Deployment Cost</c:v>
                </c:pt>
                <c:pt idx="2">
                  <c:v>Operations Cost</c:v>
                </c:pt>
              </c:strCache>
            </c:strRef>
          </c:xVal>
          <c:yVal>
            <c:numRef>
              <c:f>'Variance by % of TCO'!$N$6:$P$6</c:f>
              <c:numCache>
                <c:formatCode>0%</c:formatCode>
                <c:ptCount val="3"/>
                <c:pt idx="0">
                  <c:v>0.35129607765971405</c:v>
                </c:pt>
                <c:pt idx="1">
                  <c:v>5.1391184573002756E-2</c:v>
                </c:pt>
                <c:pt idx="2">
                  <c:v>0.59731273776728322</c:v>
                </c:pt>
              </c:numCache>
            </c:numRef>
          </c:yVal>
          <c:smooth val="0"/>
          <c:extLst>
            <c:ext xmlns:c16="http://schemas.microsoft.com/office/drawing/2014/chart" uri="{C3380CC4-5D6E-409C-BE32-E72D297353CC}">
              <c16:uniqueId val="{00000008-B5E4-4E47-B189-C0F138B81BFB}"/>
            </c:ext>
          </c:extLst>
        </c:ser>
        <c:ser>
          <c:idx val="4"/>
          <c:order val="4"/>
          <c:tx>
            <c:strRef>
              <c:f>'Variance by % of TCO'!$M$7</c:f>
              <c:strCache>
                <c:ptCount val="1"/>
                <c:pt idx="0">
                  <c:v>Rwanda/Tanzania</c:v>
                </c:pt>
              </c:strCache>
            </c:strRef>
          </c:tx>
          <c:spPr>
            <a:ln w="25400" cap="rnd">
              <a:noFill/>
              <a:round/>
            </a:ln>
            <a:effectLst/>
          </c:spPr>
          <c:marker>
            <c:symbol val="circle"/>
            <c:size val="5"/>
            <c:spPr>
              <a:solidFill>
                <a:schemeClr val="accent1"/>
              </a:solidFill>
              <a:ln w="9525">
                <a:noFill/>
              </a:ln>
              <a:effectLst/>
            </c:spPr>
          </c:marker>
          <c:dLbls>
            <c:dLbl>
              <c:idx val="0"/>
              <c:layout>
                <c:manualLayout>
                  <c:x val="-4.2568651410251956E-17"/>
                  <c:y val="-1.3959710297539684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B5E4-4E47-B189-C0F138B81BFB}"/>
                </c:ext>
              </c:extLst>
            </c:dLbl>
            <c:dLbl>
              <c:idx val="2"/>
              <c:layout>
                <c:manualLayout>
                  <c:x val="-1.1609766318257884E-2"/>
                  <c:y val="3.4899275743849212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4-B5E4-4E47-B189-C0F138B81B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'Variance by % of TCO'!$N$2:$P$2</c:f>
              <c:strCache>
                <c:ptCount val="3"/>
                <c:pt idx="0">
                  <c:v>Development Cost</c:v>
                </c:pt>
                <c:pt idx="1">
                  <c:v>Deployment Cost</c:v>
                </c:pt>
                <c:pt idx="2">
                  <c:v>Operations Cost</c:v>
                </c:pt>
              </c:strCache>
            </c:strRef>
          </c:xVal>
          <c:yVal>
            <c:numRef>
              <c:f>'Variance by % of TCO'!$N$7:$P$7</c:f>
              <c:numCache>
                <c:formatCode>0%</c:formatCode>
                <c:ptCount val="3"/>
                <c:pt idx="0">
                  <c:v>0.14362702331608249</c:v>
                </c:pt>
                <c:pt idx="1">
                  <c:v>0.11542127196347196</c:v>
                </c:pt>
                <c:pt idx="2">
                  <c:v>0.74095170472044558</c:v>
                </c:pt>
              </c:numCache>
            </c:numRef>
          </c:yVal>
          <c:smooth val="0"/>
          <c:extLst>
            <c:ext xmlns:c16="http://schemas.microsoft.com/office/drawing/2014/chart" uri="{C3380CC4-5D6E-409C-BE32-E72D297353CC}">
              <c16:uniqueId val="{00000009-B5E4-4E47-B189-C0F138B81BFB}"/>
            </c:ext>
          </c:extLst>
        </c:ser>
        <c:ser>
          <c:idx val="5"/>
          <c:order val="5"/>
          <c:tx>
            <c:strRef>
              <c:f>'Variance by % of TCO'!$M$8</c:f>
              <c:strCache>
                <c:ptCount val="1"/>
                <c:pt idx="0">
                  <c:v>Kenya</c:v>
                </c:pt>
              </c:strCache>
            </c:strRef>
          </c:tx>
          <c:spPr>
            <a:ln w="25400" cap="rnd">
              <a:noFill/>
              <a:round/>
            </a:ln>
            <a:effectLst/>
          </c:spPr>
          <c:marker>
            <c:symbol val="circle"/>
            <c:size val="5"/>
            <c:spPr>
              <a:solidFill>
                <a:schemeClr val="accent1"/>
              </a:solidFill>
              <a:ln w="9525">
                <a:noFill/>
              </a:ln>
              <a:effectLst/>
            </c:spPr>
          </c:marker>
          <c:dLbls>
            <c:dLbl>
              <c:idx val="0"/>
              <c:layout>
                <c:manualLayout>
                  <c:x val="-4.2600179792620347E-17"/>
                  <c:y val="1.4080747543560927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B5E4-4E47-B189-C0F138B81BFB}"/>
                </c:ext>
              </c:extLst>
            </c:dLbl>
            <c:dLbl>
              <c:idx val="1"/>
              <c:layout>
                <c:manualLayout>
                  <c:x val="1.1609766318257799E-2"/>
                  <c:y val="-3.4899275743850489E-3"/>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1-B5E4-4E47-B189-C0F138B81B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'Variance by % of TCO'!$N$2:$P$2</c:f>
              <c:strCache>
                <c:ptCount val="3"/>
                <c:pt idx="0">
                  <c:v>Development Cost</c:v>
                </c:pt>
                <c:pt idx="1">
                  <c:v>Deployment Cost</c:v>
                </c:pt>
                <c:pt idx="2">
                  <c:v>Operations Cost</c:v>
                </c:pt>
              </c:strCache>
            </c:strRef>
          </c:xVal>
          <c:yVal>
            <c:numRef>
              <c:f>'Variance by % of TCO'!$N$8:$P$8</c:f>
              <c:numCache>
                <c:formatCode>0%</c:formatCode>
                <c:ptCount val="3"/>
                <c:pt idx="0">
                  <c:v>0.11564171122994653</c:v>
                </c:pt>
                <c:pt idx="1">
                  <c:v>6.0828877005347594E-2</c:v>
                </c:pt>
                <c:pt idx="2">
                  <c:v>0.82352941176470584</c:v>
                </c:pt>
              </c:numCache>
            </c:numRef>
          </c:yVal>
          <c:smooth val="0"/>
          <c:extLst>
            <c:ext xmlns:c16="http://schemas.microsoft.com/office/drawing/2014/chart" uri="{C3380CC4-5D6E-409C-BE32-E72D297353CC}">
              <c16:uniqueId val="{0000000A-B5E4-4E47-B189-C0F138B81BFB}"/>
            </c:ext>
          </c:extLst>
        </c:ser>
        <c:ser>
          <c:idx val="6"/>
          <c:order val="6"/>
          <c:tx>
            <c:strRef>
              <c:f>'Variance by % of TCO'!$M$9</c:f>
              <c:strCache>
                <c:ptCount val="1"/>
                <c:pt idx="0">
                  <c:v>LMIC (general)</c:v>
                </c:pt>
              </c:strCache>
            </c:strRef>
          </c:tx>
          <c:spPr>
            <a:ln w="25400" cap="rnd">
              <a:noFill/>
              <a:round/>
            </a:ln>
            <a:effectLst/>
          </c:spPr>
          <c:marker>
            <c:symbol val="circle"/>
            <c:size val="5"/>
            <c:spPr>
              <a:solidFill>
                <a:schemeClr val="accent1"/>
              </a:solidFill>
              <a:ln w="9525">
                <a:noFill/>
              </a:ln>
              <a:effectLst/>
            </c:spPr>
          </c:marker>
          <c:dLbls>
            <c:dLbl>
              <c:idx val="0"/>
              <c:layout>
                <c:manualLayout>
                  <c:x val="3.4870618753008668E-2"/>
                  <c:y val="1.7540321029369123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B5E4-4E47-B189-C0F138B81B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strRef>
              <c:f>'Variance by % of TCO'!$N$2:$P$2</c:f>
              <c:strCache>
                <c:ptCount val="3"/>
                <c:pt idx="0">
                  <c:v>Development Cost</c:v>
                </c:pt>
                <c:pt idx="1">
                  <c:v>Deployment Cost</c:v>
                </c:pt>
                <c:pt idx="2">
                  <c:v>Operations Cost</c:v>
                </c:pt>
              </c:strCache>
            </c:strRef>
          </c:xVal>
          <c:yVal>
            <c:numRef>
              <c:f>'Variance by % of TCO'!$N$9:$P$9</c:f>
              <c:numCache>
                <c:formatCode>0%</c:formatCode>
                <c:ptCount val="3"/>
                <c:pt idx="0">
                  <c:v>0.14772727272727273</c:v>
                </c:pt>
                <c:pt idx="1">
                  <c:v>0.45454545454545453</c:v>
                </c:pt>
                <c:pt idx="2">
                  <c:v>0.39772727272727271</c:v>
                </c:pt>
              </c:numCache>
            </c:numRef>
          </c:yVal>
          <c:smooth val="0"/>
          <c:extLst>
            <c:ext xmlns:c16="http://schemas.microsoft.com/office/drawing/2014/chart" uri="{C3380CC4-5D6E-409C-BE32-E72D297353CC}">
              <c16:uniqueId val="{0000000B-B5E4-4E47-B189-C0F138B81BFB}"/>
            </c:ext>
          </c:extLst>
        </c:ser>
        <c:dLbls>
          <c:showLegendKey val="0"/>
          <c:showVal val="0"/>
          <c:showCatName val="0"/>
          <c:showSerName val="0"/>
          <c:showPercent val="0"/>
          <c:showBubbleSize val="0"/>
        </c:dLbls>
        <c:axId val="2097188240"/>
        <c:axId val="2097182416"/>
      </c:scatterChart>
      <c:valAx>
        <c:axId val="2097188240"/>
        <c:scaling>
          <c:orientation val="minMax"/>
          <c:max val="3.5"/>
          <c:min val="0"/>
        </c:scaling>
        <c:delete val="1"/>
        <c:axPos val="b"/>
        <c:majorGridlines>
          <c:spPr>
            <a:ln w="9525" cap="flat" cmpd="sng" algn="ctr">
              <a:solidFill>
                <a:schemeClr val="tx1">
                  <a:lumMod val="15000"/>
                  <a:lumOff val="85000"/>
                </a:schemeClr>
              </a:solidFill>
              <a:round/>
            </a:ln>
            <a:effectLst/>
          </c:spPr>
        </c:majorGridlines>
        <c:majorTickMark val="none"/>
        <c:minorTickMark val="none"/>
        <c:tickLblPos val="nextTo"/>
        <c:crossAx val="2097182416"/>
        <c:crosses val="autoZero"/>
        <c:crossBetween val="midCat"/>
        <c:majorUnit val="1"/>
      </c:valAx>
      <c:valAx>
        <c:axId val="2097182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71882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_xlchart.v1.2</cx:f>
      </cx:numDim>
    </cx:data>
    <cx:data id="1">
      <cx:strDim type="cat">
        <cx:f>_xlchart.v1.0</cx:f>
      </cx:strDim>
      <cx:numDim type="val">
        <cx:f>_xlchart.v1.4</cx:f>
      </cx:numDim>
    </cx:data>
    <cx:data id="2">
      <cx:strDim type="cat">
        <cx:f>_xlchart.v1.0</cx:f>
      </cx:strDim>
      <cx:numDim type="val">
        <cx:f>_xlchart.v1.6</cx:f>
      </cx:numDim>
    </cx:data>
  </cx:chartData>
  <cx:chart>
    <cx:title pos="t" align="ctr" overlay="0">
      <cx:tx>
        <cx:txData>
          <cx:v>Variance by % of TCO</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Variance by % of TCO</a:t>
          </a:r>
        </a:p>
      </cx:txPr>
    </cx:title>
    <cx:plotArea>
      <cx:plotAreaRegion>
        <cx:series layoutId="boxWhisker" uniqueId="{3381D4E4-44C6-492D-9BFB-EA1F9005AC45}">
          <cx:tx>
            <cx:txData>
              <cx:f>_xlchart.v1.1</cx:f>
              <cx:v>Development</cx:v>
            </cx:txData>
          </cx:tx>
          <cx:dataId val="0"/>
          <cx:layoutPr>
            <cx:visibility meanLine="0" meanMarker="1" nonoutliers="0" outliers="1"/>
            <cx:statistics quartileMethod="exclusive"/>
          </cx:layoutPr>
        </cx:series>
        <cx:series layoutId="boxWhisker" uniqueId="{F93D1241-91A4-4CDB-BE8F-792CF7E36911}">
          <cx:tx>
            <cx:txData>
              <cx:f>_xlchart.v1.3</cx:f>
              <cx:v>Deployment</cx:v>
            </cx:txData>
          </cx:tx>
          <cx:dataId val="1"/>
          <cx:layoutPr>
            <cx:visibility meanLine="0" meanMarker="1" nonoutliers="0" outliers="1"/>
            <cx:statistics quartileMethod="exclusive"/>
          </cx:layoutPr>
        </cx:series>
        <cx:series layoutId="boxWhisker" uniqueId="{31B6DA84-05D2-45E3-9741-801A4D8A15D1}">
          <cx:tx>
            <cx:txData>
              <cx:f>_xlchart.v1.5</cx:f>
              <cx:v>Operations </cx:v>
            </cx:txData>
          </cx:tx>
          <cx:dataId val="2"/>
          <cx:layoutPr>
            <cx:visibility meanLine="0" meanMarker="1" nonoutliers="0" outliers="1"/>
            <cx:statistics quartileMethod="exclusive"/>
          </cx:layoutPr>
        </cx:series>
      </cx:plotAreaRegion>
      <cx:axis id="0" hidden="1">
        <cx:catScaling gapWidth="1"/>
        <cx:tickLabels/>
      </cx:axis>
      <cx:axis id="1">
        <cx:valScaling/>
        <cx:majorGridlines/>
        <cx:tickLabels/>
      </cx:axis>
    </cx:plotArea>
    <cx:legend pos="b" align="ctr"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https://path.azureedge.net/media/documents/Tanzania_Digital_Health_Investment_Road_Map.2017_to_2023.pdf" TargetMode="External"/><Relationship Id="rId2" Type="http://schemas.openxmlformats.org/officeDocument/2006/relationships/hyperlink" Target="https://static1.squarespace.com/static/59bc3457ccc5c5890fe7cacd/t/60f85f249f074421d46b1f5d/1626890024524/Digital+Square+Vital+Wave+TCO+Reference+Document_final.pdf" TargetMode="External"/><Relationship Id="rId1" Type="http://schemas.openxmlformats.org/officeDocument/2006/relationships/hyperlink" Target="https://www.who.int/publications/i/item/9789240010567" TargetMode="External"/><Relationship Id="rId4" Type="http://schemas.openxmlformats.org/officeDocument/2006/relationships/hyperlink" Target="#'Input - Development Costs'!A1"/></Relationships>
</file>

<file path=xl/drawings/_rels/drawing11.xml.rels><?xml version="1.0" encoding="UTF-8" standalone="yes"?>
<Relationships xmlns="http://schemas.openxmlformats.org/package/2006/relationships"><Relationship Id="rId3" Type="http://schemas.openxmlformats.org/officeDocument/2006/relationships/hyperlink" Target="https://static1.squarespace.com/static/59bc3457ccc5c5890fe7cacd/t/60f85f249f074421d46b1f5d/1626890024524/Digital+Square+Vital+Wave+TCO+Reference+Document_final.pdf" TargetMode="External"/><Relationship Id="rId7" Type="http://schemas.openxmlformats.org/officeDocument/2006/relationships/hyperlink" Target="#'Input - Deployment Costs'!A1"/><Relationship Id="rId2" Type="http://schemas.openxmlformats.org/officeDocument/2006/relationships/hyperlink" Target="https://path.azureedge.net/media/documents/Tanzania_Digital_Health_Investment_Road_Map.2017_to_2023.pdf" TargetMode="External"/><Relationship Id="rId1" Type="http://schemas.openxmlformats.org/officeDocument/2006/relationships/hyperlink" Target="https://www.who.int/publications/i/item/9789240010567" TargetMode="External"/><Relationship Id="rId6" Type="http://schemas.openxmlformats.org/officeDocument/2006/relationships/hyperlink" Target="#'Notes - Deployment Costs'!A1"/><Relationship Id="rId5" Type="http://schemas.openxmlformats.org/officeDocument/2006/relationships/hyperlink" Target="#'User Guide'!A1"/><Relationship Id="rId4" Type="http://schemas.openxmlformats.org/officeDocument/2006/relationships/hyperlink" Target="http://sil-asia.org/costing-tool/" TargetMode="External"/></Relationships>
</file>

<file path=xl/drawings/_rels/drawing12.xml.rels><?xml version="1.0" encoding="UTF-8" standalone="yes"?>
<Relationships xmlns="http://schemas.openxmlformats.org/package/2006/relationships"><Relationship Id="rId3" Type="http://schemas.openxmlformats.org/officeDocument/2006/relationships/hyperlink" Target="https://path.azureedge.net/media/documents/Tanzania_Digital_Health_Investment_Road_Map.2017_to_2023.pdf" TargetMode="External"/><Relationship Id="rId2" Type="http://schemas.openxmlformats.org/officeDocument/2006/relationships/hyperlink" Target="https://static1.squarespace.com/static/59bc3457ccc5c5890fe7cacd/t/60f85f249f074421d46b1f5d/1626890024524/Digital+Square+Vital+Wave+TCO+Reference+Document_final.pdf" TargetMode="External"/><Relationship Id="rId1" Type="http://schemas.openxmlformats.org/officeDocument/2006/relationships/hyperlink" Target="https://www.who.int/publications/i/item/9789240010567" TargetMode="External"/><Relationship Id="rId5" Type="http://schemas.openxmlformats.org/officeDocument/2006/relationships/hyperlink" Target="#'Labor tab Example '!L8"/><Relationship Id="rId4" Type="http://schemas.openxmlformats.org/officeDocument/2006/relationships/hyperlink" Target="https://icsc.un.org/Home/GetDataFile/6737" TargetMode="External"/></Relationships>
</file>

<file path=xl/drawings/_rels/drawing1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2" Type="http://schemas.microsoft.com/office/2014/relationships/chartEx" Target="../charts/chartEx1.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hyperlink" Target="https://path.azureedge.net/media/documents/Tanzania_Digital_Health_Investment_Road_Map.2017_to_2023.pdf" TargetMode="External"/><Relationship Id="rId2" Type="http://schemas.openxmlformats.org/officeDocument/2006/relationships/hyperlink" Target="https://static1.squarespace.com/static/59bc3457ccc5c5890fe7cacd/t/60f85f249f074421d46b1f5d/1626890024524/Digital+Square+Vital+Wave+TCO+Reference+Document_final.pdf" TargetMode="External"/><Relationship Id="rId1" Type="http://schemas.openxmlformats.org/officeDocument/2006/relationships/hyperlink" Target="https://www.who.int/publications/i/item/9789240010567"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static1.squarespace.com/static/59bc3457ccc5c5890fe7cacd/t/60f85f249f074421d46b1f5d/1626890024524/Digital+Square+Vital+Wave+TCO+Reference+Document_final.pdf" TargetMode="External"/><Relationship Id="rId2" Type="http://schemas.openxmlformats.org/officeDocument/2006/relationships/hyperlink" Target="https://path.azureedge.net/media/documents/Tanzania_Digital_Health_Investment_Road_Map.2017_to_2023.pdf" TargetMode="External"/><Relationship Id="rId1" Type="http://schemas.openxmlformats.org/officeDocument/2006/relationships/hyperlink" Target="https://www.who.int/publications/i/item/9789240010567" TargetMode="External"/><Relationship Id="rId4" Type="http://schemas.openxmlformats.org/officeDocument/2006/relationships/hyperlink" Target="http://sil-asia.org/costing-tool/"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s://static1.squarespace.com/static/59bc3457ccc5c5890fe7cacd/t/60f85f249f074421d46b1f5d/1626890024524/Digital+Square+Vital+Wave+TCO+Reference+Document_final.pdf" TargetMode="External"/><Relationship Id="rId2" Type="http://schemas.openxmlformats.org/officeDocument/2006/relationships/hyperlink" Target="https://path.azureedge.net/media/documents/Tanzania_Digital_Health_Investment_Road_Map.2017_to_2023.pdf" TargetMode="External"/><Relationship Id="rId1" Type="http://schemas.openxmlformats.org/officeDocument/2006/relationships/hyperlink" Target="https://www.who.int/publications/i/item/9789240010567" TargetMode="External"/><Relationship Id="rId4" Type="http://schemas.openxmlformats.org/officeDocument/2006/relationships/hyperlink" Target="https://www.dimagi.com/toolkits/total-cost-ownership/" TargetMode="External"/></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3" Type="http://schemas.openxmlformats.org/officeDocument/2006/relationships/hyperlink" Target="https://static1.squarespace.com/static/59bc3457ccc5c5890fe7cacd/t/60f85f249f074421d46b1f5d/1626890024524/Digital+Square+Vital+Wave+TCO+Reference+Document_final.pdf" TargetMode="External"/><Relationship Id="rId2" Type="http://schemas.openxmlformats.org/officeDocument/2006/relationships/hyperlink" Target="https://path.azureedge.net/media/documents/Tanzania_Digital_Health_Investment_Road_Map.2017_to_2023.pdf" TargetMode="External"/><Relationship Id="rId1" Type="http://schemas.openxmlformats.org/officeDocument/2006/relationships/hyperlink" Target="https://www.who.int/publications/i/item/9789240010567" TargetMode="External"/><Relationship Id="rId5" Type="http://schemas.openxmlformats.org/officeDocument/2006/relationships/hyperlink" Target="#'Input - Operations Costs'!A1"/><Relationship Id="rId4" Type="http://schemas.openxmlformats.org/officeDocument/2006/relationships/hyperlink" Target="https://www.dimagi.com/toolkits/total-cost-ownership/"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Input - Scope of Implementation'!A1"/></Relationships>
</file>

<file path=xl/drawings/drawing1.xml><?xml version="1.0" encoding="utf-8"?>
<xdr:wsDr xmlns:xdr="http://schemas.openxmlformats.org/drawingml/2006/spreadsheetDrawing" xmlns:a="http://schemas.openxmlformats.org/drawingml/2006/main">
  <xdr:oneCellAnchor>
    <xdr:from>
      <xdr:col>8</xdr:col>
      <xdr:colOff>5715</xdr:colOff>
      <xdr:row>5</xdr:row>
      <xdr:rowOff>7677</xdr:rowOff>
    </xdr:from>
    <xdr:ext cx="2369495" cy="2250356"/>
    <xdr:pic>
      <xdr:nvPicPr>
        <xdr:cNvPr id="2" name="Picture 1" descr="Digital Square">
          <a:extLst>
            <a:ext uri="{FF2B5EF4-FFF2-40B4-BE49-F238E27FC236}">
              <a16:creationId xmlns:a16="http://schemas.microsoft.com/office/drawing/2014/main" id="{0383A30B-BC06-4345-A3FE-AFC74D7D56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0515" y="960177"/>
          <a:ext cx="2369495" cy="22503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119495</xdr:colOff>
      <xdr:row>19</xdr:row>
      <xdr:rowOff>168556</xdr:rowOff>
    </xdr:from>
    <xdr:ext cx="3345538" cy="551230"/>
    <xdr:pic>
      <xdr:nvPicPr>
        <xdr:cNvPr id="3" name="Picture 2">
          <a:extLst>
            <a:ext uri="{FF2B5EF4-FFF2-40B4-BE49-F238E27FC236}">
              <a16:creationId xmlns:a16="http://schemas.microsoft.com/office/drawing/2014/main" id="{5A887B8F-0BC6-984D-AFFB-50460F1146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48495" y="4245256"/>
          <a:ext cx="3345538" cy="5512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absolute">
    <xdr:from>
      <xdr:col>11</xdr:col>
      <xdr:colOff>734773</xdr:colOff>
      <xdr:row>0</xdr:row>
      <xdr:rowOff>9077</xdr:rowOff>
    </xdr:from>
    <xdr:to>
      <xdr:col>14</xdr:col>
      <xdr:colOff>21124</xdr:colOff>
      <xdr:row>2</xdr:row>
      <xdr:rowOff>72571</xdr:rowOff>
    </xdr:to>
    <xdr:pic>
      <xdr:nvPicPr>
        <xdr:cNvPr id="6" name="Picture 5" descr="Digital Square">
          <a:extLst>
            <a:ext uri="{FF2B5EF4-FFF2-40B4-BE49-F238E27FC236}">
              <a16:creationId xmlns:a16="http://schemas.microsoft.com/office/drawing/2014/main" id="{D0F8D4DF-E957-4D0E-94AD-472B57D9C4C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579" b="73684"/>
        <a:stretch/>
      </xdr:blipFill>
      <xdr:spPr bwMode="auto">
        <a:xfrm>
          <a:off x="6794487" y="9077"/>
          <a:ext cx="746851" cy="634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10</xdr:row>
      <xdr:rowOff>447675</xdr:rowOff>
    </xdr:from>
    <xdr:to>
      <xdr:col>4</xdr:col>
      <xdr:colOff>2828925</xdr:colOff>
      <xdr:row>10</xdr:row>
      <xdr:rowOff>600075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15B1731-C140-0043-8AF9-C10387D085E6}"/>
            </a:ext>
          </a:extLst>
        </xdr:cNvPr>
        <xdr:cNvSpPr/>
      </xdr:nvSpPr>
      <xdr:spPr>
        <a:xfrm>
          <a:off x="15557500" y="9731375"/>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28574</xdr:colOff>
      <xdr:row>10</xdr:row>
      <xdr:rowOff>628650</xdr:rowOff>
    </xdr:from>
    <xdr:to>
      <xdr:col>4</xdr:col>
      <xdr:colOff>2838449</xdr:colOff>
      <xdr:row>10</xdr:row>
      <xdr:rowOff>971550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D3E8FEDA-3DE3-604A-A88E-53B227656BD2}"/>
            </a:ext>
          </a:extLst>
        </xdr:cNvPr>
        <xdr:cNvSpPr/>
      </xdr:nvSpPr>
      <xdr:spPr>
        <a:xfrm>
          <a:off x="15586074" y="9721850"/>
          <a:ext cx="28098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28575</xdr:colOff>
      <xdr:row>10</xdr:row>
      <xdr:rowOff>971550</xdr:rowOff>
    </xdr:from>
    <xdr:to>
      <xdr:col>4</xdr:col>
      <xdr:colOff>2952750</xdr:colOff>
      <xdr:row>11</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A7B3467-A7D8-2E4F-BF8E-7C0FAF161957}"/>
            </a:ext>
          </a:extLst>
        </xdr:cNvPr>
        <xdr:cNvSpPr/>
      </xdr:nvSpPr>
      <xdr:spPr>
        <a:xfrm>
          <a:off x="15586075" y="9721850"/>
          <a:ext cx="292417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11</xdr:row>
      <xdr:rowOff>447675</xdr:rowOff>
    </xdr:from>
    <xdr:to>
      <xdr:col>4</xdr:col>
      <xdr:colOff>2828925</xdr:colOff>
      <xdr:row>11</xdr:row>
      <xdr:rowOff>600075</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B5634FF3-29DA-8645-B99F-92190A45602C}"/>
            </a:ext>
          </a:extLst>
        </xdr:cNvPr>
        <xdr:cNvSpPr/>
      </xdr:nvSpPr>
      <xdr:spPr>
        <a:xfrm>
          <a:off x="15557500" y="9921875"/>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28574</xdr:colOff>
      <xdr:row>11</xdr:row>
      <xdr:rowOff>628650</xdr:rowOff>
    </xdr:from>
    <xdr:to>
      <xdr:col>4</xdr:col>
      <xdr:colOff>2838449</xdr:colOff>
      <xdr:row>11</xdr:row>
      <xdr:rowOff>971550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EC94F207-4020-C746-866A-12781FD95D97}"/>
            </a:ext>
          </a:extLst>
        </xdr:cNvPr>
        <xdr:cNvSpPr/>
      </xdr:nvSpPr>
      <xdr:spPr>
        <a:xfrm>
          <a:off x="15586074" y="9912350"/>
          <a:ext cx="28098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28575</xdr:colOff>
      <xdr:row>11</xdr:row>
      <xdr:rowOff>971550</xdr:rowOff>
    </xdr:from>
    <xdr:to>
      <xdr:col>4</xdr:col>
      <xdr:colOff>2952750</xdr:colOff>
      <xdr:row>12</xdr:row>
      <xdr:rowOff>0</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7C173265-070A-D543-9EF6-FAA43011E552}"/>
            </a:ext>
          </a:extLst>
        </xdr:cNvPr>
        <xdr:cNvSpPr/>
      </xdr:nvSpPr>
      <xdr:spPr>
        <a:xfrm>
          <a:off x="15586075" y="9912350"/>
          <a:ext cx="292417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11</xdr:row>
      <xdr:rowOff>387350</xdr:rowOff>
    </xdr:from>
    <xdr:to>
      <xdr:col>4</xdr:col>
      <xdr:colOff>2901950</xdr:colOff>
      <xdr:row>12</xdr:row>
      <xdr:rowOff>15875</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80C63FD8-C2AC-324D-A8DF-F8B169722879}"/>
            </a:ext>
          </a:extLst>
        </xdr:cNvPr>
        <xdr:cNvSpPr/>
      </xdr:nvSpPr>
      <xdr:spPr>
        <a:xfrm>
          <a:off x="15567025" y="9912350"/>
          <a:ext cx="2892425" cy="22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28575</xdr:colOff>
      <xdr:row>11</xdr:row>
      <xdr:rowOff>38099</xdr:rowOff>
    </xdr:from>
    <xdr:to>
      <xdr:col>4</xdr:col>
      <xdr:colOff>2952750</xdr:colOff>
      <xdr:row>11</xdr:row>
      <xdr:rowOff>393699</xdr:rowOff>
    </xdr:to>
    <xdr:sp macro="" textlink="">
      <xdr:nvSpPr>
        <xdr:cNvPr id="9" name="Rectangle 8">
          <a:hlinkClick xmlns:r="http://schemas.openxmlformats.org/officeDocument/2006/relationships" r:id="rId2"/>
          <a:extLst>
            <a:ext uri="{FF2B5EF4-FFF2-40B4-BE49-F238E27FC236}">
              <a16:creationId xmlns:a16="http://schemas.microsoft.com/office/drawing/2014/main" id="{39BEE6BA-454C-5C41-9E10-6E1E034A34E7}"/>
            </a:ext>
          </a:extLst>
        </xdr:cNvPr>
        <xdr:cNvSpPr/>
      </xdr:nvSpPr>
      <xdr:spPr>
        <a:xfrm>
          <a:off x="15586075" y="9766299"/>
          <a:ext cx="29241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6350</xdr:colOff>
      <xdr:row>15</xdr:row>
      <xdr:rowOff>1473201</xdr:rowOff>
    </xdr:from>
    <xdr:to>
      <xdr:col>4</xdr:col>
      <xdr:colOff>2905125</xdr:colOff>
      <xdr:row>16</xdr:row>
      <xdr:rowOff>0</xdr:rowOff>
    </xdr:to>
    <xdr:sp macro="" textlink="">
      <xdr:nvSpPr>
        <xdr:cNvPr id="10" name="Rectangle 9">
          <a:hlinkClick xmlns:r="http://schemas.openxmlformats.org/officeDocument/2006/relationships" r:id="rId3"/>
          <a:extLst>
            <a:ext uri="{FF2B5EF4-FFF2-40B4-BE49-F238E27FC236}">
              <a16:creationId xmlns:a16="http://schemas.microsoft.com/office/drawing/2014/main" id="{9440491C-4544-9D4C-B246-20439018F8A3}"/>
            </a:ext>
          </a:extLst>
        </xdr:cNvPr>
        <xdr:cNvSpPr/>
      </xdr:nvSpPr>
      <xdr:spPr>
        <a:xfrm>
          <a:off x="15563850" y="10871201"/>
          <a:ext cx="289877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15</xdr:row>
      <xdr:rowOff>1108074</xdr:rowOff>
    </xdr:from>
    <xdr:to>
      <xdr:col>4</xdr:col>
      <xdr:colOff>2911475</xdr:colOff>
      <xdr:row>15</xdr:row>
      <xdr:rowOff>1457324</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9AAA3693-F1B9-E54F-953C-E969C3A0B77C}"/>
            </a:ext>
          </a:extLst>
        </xdr:cNvPr>
        <xdr:cNvSpPr/>
      </xdr:nvSpPr>
      <xdr:spPr>
        <a:xfrm>
          <a:off x="15392400" y="10874374"/>
          <a:ext cx="30765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14</xdr:row>
      <xdr:rowOff>447675</xdr:rowOff>
    </xdr:from>
    <xdr:to>
      <xdr:col>4</xdr:col>
      <xdr:colOff>2828925</xdr:colOff>
      <xdr:row>14</xdr:row>
      <xdr:rowOff>600075</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F1460869-1157-FB42-AB09-362C568E2D9E}"/>
            </a:ext>
          </a:extLst>
        </xdr:cNvPr>
        <xdr:cNvSpPr/>
      </xdr:nvSpPr>
      <xdr:spPr>
        <a:xfrm>
          <a:off x="15557500" y="10493375"/>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14</xdr:row>
      <xdr:rowOff>387351</xdr:rowOff>
    </xdr:from>
    <xdr:to>
      <xdr:col>4</xdr:col>
      <xdr:colOff>2901950</xdr:colOff>
      <xdr:row>14</xdr:row>
      <xdr:rowOff>723901</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5F103D4B-0E0F-5540-95A0-1AA98EBDAE43}"/>
            </a:ext>
          </a:extLst>
        </xdr:cNvPr>
        <xdr:cNvSpPr/>
      </xdr:nvSpPr>
      <xdr:spPr>
        <a:xfrm>
          <a:off x="15567025" y="10483851"/>
          <a:ext cx="289242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14</xdr:row>
      <xdr:rowOff>380999</xdr:rowOff>
    </xdr:from>
    <xdr:to>
      <xdr:col>4</xdr:col>
      <xdr:colOff>2933700</xdr:colOff>
      <xdr:row>14</xdr:row>
      <xdr:rowOff>736599</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BE31435F-A800-EA47-92BC-30DF1E4DB8B6}"/>
            </a:ext>
          </a:extLst>
        </xdr:cNvPr>
        <xdr:cNvSpPr/>
      </xdr:nvSpPr>
      <xdr:spPr>
        <a:xfrm>
          <a:off x="15567025" y="10490199"/>
          <a:ext cx="29241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14</xdr:row>
      <xdr:rowOff>749300</xdr:rowOff>
    </xdr:from>
    <xdr:to>
      <xdr:col>4</xdr:col>
      <xdr:colOff>2911475</xdr:colOff>
      <xdr:row>15</xdr:row>
      <xdr:rowOff>0</xdr:rowOff>
    </xdr:to>
    <xdr:sp macro="" textlink="">
      <xdr:nvSpPr>
        <xdr:cNvPr id="15" name="Rectangle 14">
          <a:hlinkClick xmlns:r="http://schemas.openxmlformats.org/officeDocument/2006/relationships" r:id="rId3"/>
          <a:extLst>
            <a:ext uri="{FF2B5EF4-FFF2-40B4-BE49-F238E27FC236}">
              <a16:creationId xmlns:a16="http://schemas.microsoft.com/office/drawing/2014/main" id="{E2C14DA0-B20E-2B4F-94CF-B8EDB153BA93}"/>
            </a:ext>
          </a:extLst>
        </xdr:cNvPr>
        <xdr:cNvSpPr/>
      </xdr:nvSpPr>
      <xdr:spPr>
        <a:xfrm>
          <a:off x="15576550" y="10490200"/>
          <a:ext cx="2892425" cy="25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20</xdr:row>
      <xdr:rowOff>234950</xdr:rowOff>
    </xdr:from>
    <xdr:to>
      <xdr:col>4</xdr:col>
      <xdr:colOff>2828925</xdr:colOff>
      <xdr:row>20</xdr:row>
      <xdr:rowOff>387350</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8DF0398E-1E9F-2D48-96B3-395C70079AE5}"/>
            </a:ext>
          </a:extLst>
        </xdr:cNvPr>
        <xdr:cNvSpPr/>
      </xdr:nvSpPr>
      <xdr:spPr>
        <a:xfrm>
          <a:off x="15557500" y="12007850"/>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3174</xdr:colOff>
      <xdr:row>20</xdr:row>
      <xdr:rowOff>415925</xdr:rowOff>
    </xdr:from>
    <xdr:to>
      <xdr:col>4</xdr:col>
      <xdr:colOff>2813049</xdr:colOff>
      <xdr:row>20</xdr:row>
      <xdr:rowOff>714375</xdr:rowOff>
    </xdr:to>
    <xdr:sp macro="" textlink="">
      <xdr:nvSpPr>
        <xdr:cNvPr id="17" name="Rectangle 16">
          <a:hlinkClick xmlns:r="http://schemas.openxmlformats.org/officeDocument/2006/relationships" r:id="rId2"/>
          <a:extLst>
            <a:ext uri="{FF2B5EF4-FFF2-40B4-BE49-F238E27FC236}">
              <a16:creationId xmlns:a16="http://schemas.microsoft.com/office/drawing/2014/main" id="{4FC2047D-7C5C-2242-BE06-E94E875258F9}"/>
            </a:ext>
          </a:extLst>
        </xdr:cNvPr>
        <xdr:cNvSpPr/>
      </xdr:nvSpPr>
      <xdr:spPr>
        <a:xfrm>
          <a:off x="15560674" y="12011025"/>
          <a:ext cx="280987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28575</xdr:colOff>
      <xdr:row>20</xdr:row>
      <xdr:rowOff>752475</xdr:rowOff>
    </xdr:from>
    <xdr:to>
      <xdr:col>4</xdr:col>
      <xdr:colOff>2952750</xdr:colOff>
      <xdr:row>21</xdr:row>
      <xdr:rowOff>0</xdr:rowOff>
    </xdr:to>
    <xdr:sp macro="" textlink="">
      <xdr:nvSpPr>
        <xdr:cNvPr id="18" name="Rectangle 17">
          <a:hlinkClick xmlns:r="http://schemas.openxmlformats.org/officeDocument/2006/relationships" r:id="rId3"/>
          <a:extLst>
            <a:ext uri="{FF2B5EF4-FFF2-40B4-BE49-F238E27FC236}">
              <a16:creationId xmlns:a16="http://schemas.microsoft.com/office/drawing/2014/main" id="{F35CAA2E-9FF0-474F-9EB0-235159781DE2}"/>
            </a:ext>
          </a:extLst>
        </xdr:cNvPr>
        <xdr:cNvSpPr/>
      </xdr:nvSpPr>
      <xdr:spPr>
        <a:xfrm flipV="1">
          <a:off x="15586075" y="12017375"/>
          <a:ext cx="29241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21</xdr:row>
      <xdr:rowOff>447675</xdr:rowOff>
    </xdr:from>
    <xdr:to>
      <xdr:col>4</xdr:col>
      <xdr:colOff>2828925</xdr:colOff>
      <xdr:row>21</xdr:row>
      <xdr:rowOff>600075</xdr:rowOff>
    </xdr:to>
    <xdr:sp macro="" textlink="">
      <xdr:nvSpPr>
        <xdr:cNvPr id="19" name="Rectangle 18">
          <a:hlinkClick xmlns:r="http://schemas.openxmlformats.org/officeDocument/2006/relationships" r:id="rId1"/>
          <a:extLst>
            <a:ext uri="{FF2B5EF4-FFF2-40B4-BE49-F238E27FC236}">
              <a16:creationId xmlns:a16="http://schemas.microsoft.com/office/drawing/2014/main" id="{AD89DF2B-5538-C747-BD80-CF46F9ABE82B}"/>
            </a:ext>
          </a:extLst>
        </xdr:cNvPr>
        <xdr:cNvSpPr/>
      </xdr:nvSpPr>
      <xdr:spPr>
        <a:xfrm>
          <a:off x="15557500" y="12207875"/>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21</xdr:row>
      <xdr:rowOff>387351</xdr:rowOff>
    </xdr:from>
    <xdr:to>
      <xdr:col>4</xdr:col>
      <xdr:colOff>2901950</xdr:colOff>
      <xdr:row>21</xdr:row>
      <xdr:rowOff>723901</xdr:rowOff>
    </xdr:to>
    <xdr:sp macro="" textlink="">
      <xdr:nvSpPr>
        <xdr:cNvPr id="20" name="Rectangle 19">
          <a:hlinkClick xmlns:r="http://schemas.openxmlformats.org/officeDocument/2006/relationships" r:id="rId3"/>
          <a:extLst>
            <a:ext uri="{FF2B5EF4-FFF2-40B4-BE49-F238E27FC236}">
              <a16:creationId xmlns:a16="http://schemas.microsoft.com/office/drawing/2014/main" id="{8BA0BF2E-E615-8E49-B1B2-726FAFE1E240}"/>
            </a:ext>
          </a:extLst>
        </xdr:cNvPr>
        <xdr:cNvSpPr/>
      </xdr:nvSpPr>
      <xdr:spPr>
        <a:xfrm>
          <a:off x="15567025" y="12198351"/>
          <a:ext cx="289242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21</xdr:row>
      <xdr:rowOff>12698</xdr:rowOff>
    </xdr:from>
    <xdr:to>
      <xdr:col>4</xdr:col>
      <xdr:colOff>2914650</xdr:colOff>
      <xdr:row>21</xdr:row>
      <xdr:rowOff>380999</xdr:rowOff>
    </xdr:to>
    <xdr:sp macro="" textlink="">
      <xdr:nvSpPr>
        <xdr:cNvPr id="21" name="Rectangle 20">
          <a:hlinkClick xmlns:r="http://schemas.openxmlformats.org/officeDocument/2006/relationships" r:id="rId2"/>
          <a:extLst>
            <a:ext uri="{FF2B5EF4-FFF2-40B4-BE49-F238E27FC236}">
              <a16:creationId xmlns:a16="http://schemas.microsoft.com/office/drawing/2014/main" id="{C72A4A9F-A9E3-7444-8D81-143E3D760767}"/>
            </a:ext>
          </a:extLst>
        </xdr:cNvPr>
        <xdr:cNvSpPr/>
      </xdr:nvSpPr>
      <xdr:spPr>
        <a:xfrm>
          <a:off x="15389225" y="12026898"/>
          <a:ext cx="3082925" cy="1778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21</xdr:row>
      <xdr:rowOff>749300</xdr:rowOff>
    </xdr:from>
    <xdr:to>
      <xdr:col>4</xdr:col>
      <xdr:colOff>2911475</xdr:colOff>
      <xdr:row>22</xdr:row>
      <xdr:rowOff>25400</xdr:rowOff>
    </xdr:to>
    <xdr:sp macro="" textlink="">
      <xdr:nvSpPr>
        <xdr:cNvPr id="22" name="Rectangle 21">
          <a:hlinkClick xmlns:r="http://schemas.openxmlformats.org/officeDocument/2006/relationships" r:id="rId3"/>
          <a:extLst>
            <a:ext uri="{FF2B5EF4-FFF2-40B4-BE49-F238E27FC236}">
              <a16:creationId xmlns:a16="http://schemas.microsoft.com/office/drawing/2014/main" id="{CD4AC744-C1E9-F64B-8C52-D389C98CA766}"/>
            </a:ext>
          </a:extLst>
        </xdr:cNvPr>
        <xdr:cNvSpPr/>
      </xdr:nvSpPr>
      <xdr:spPr>
        <a:xfrm>
          <a:off x="15576550" y="12204700"/>
          <a:ext cx="2892425" cy="25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28</xdr:row>
      <xdr:rowOff>234950</xdr:rowOff>
    </xdr:from>
    <xdr:to>
      <xdr:col>4</xdr:col>
      <xdr:colOff>2828925</xdr:colOff>
      <xdr:row>28</xdr:row>
      <xdr:rowOff>387350</xdr:rowOff>
    </xdr:to>
    <xdr:sp macro="" textlink="">
      <xdr:nvSpPr>
        <xdr:cNvPr id="23" name="Rectangle 22">
          <a:hlinkClick xmlns:r="http://schemas.openxmlformats.org/officeDocument/2006/relationships" r:id="rId1"/>
          <a:extLst>
            <a:ext uri="{FF2B5EF4-FFF2-40B4-BE49-F238E27FC236}">
              <a16:creationId xmlns:a16="http://schemas.microsoft.com/office/drawing/2014/main" id="{B7A090D5-A8BA-7545-9EFF-4AD5FC9B67ED}"/>
            </a:ext>
          </a:extLst>
        </xdr:cNvPr>
        <xdr:cNvSpPr/>
      </xdr:nvSpPr>
      <xdr:spPr>
        <a:xfrm>
          <a:off x="15557500" y="13531850"/>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3174</xdr:colOff>
      <xdr:row>28</xdr:row>
      <xdr:rowOff>415925</xdr:rowOff>
    </xdr:from>
    <xdr:to>
      <xdr:col>4</xdr:col>
      <xdr:colOff>2813049</xdr:colOff>
      <xdr:row>28</xdr:row>
      <xdr:rowOff>714375</xdr:rowOff>
    </xdr:to>
    <xdr:sp macro="" textlink="">
      <xdr:nvSpPr>
        <xdr:cNvPr id="24" name="Rectangle 23">
          <a:hlinkClick xmlns:r="http://schemas.openxmlformats.org/officeDocument/2006/relationships" r:id="rId2"/>
          <a:extLst>
            <a:ext uri="{FF2B5EF4-FFF2-40B4-BE49-F238E27FC236}">
              <a16:creationId xmlns:a16="http://schemas.microsoft.com/office/drawing/2014/main" id="{09A7350B-642A-9049-8D5D-4D91E1D88669}"/>
            </a:ext>
          </a:extLst>
        </xdr:cNvPr>
        <xdr:cNvSpPr/>
      </xdr:nvSpPr>
      <xdr:spPr>
        <a:xfrm>
          <a:off x="15560674" y="13535025"/>
          <a:ext cx="280987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28575</xdr:colOff>
      <xdr:row>28</xdr:row>
      <xdr:rowOff>752475</xdr:rowOff>
    </xdr:from>
    <xdr:to>
      <xdr:col>4</xdr:col>
      <xdr:colOff>2952750</xdr:colOff>
      <xdr:row>29</xdr:row>
      <xdr:rowOff>0</xdr:rowOff>
    </xdr:to>
    <xdr:sp macro="" textlink="">
      <xdr:nvSpPr>
        <xdr:cNvPr id="25" name="Rectangle 24">
          <a:hlinkClick xmlns:r="http://schemas.openxmlformats.org/officeDocument/2006/relationships" r:id="rId3"/>
          <a:extLst>
            <a:ext uri="{FF2B5EF4-FFF2-40B4-BE49-F238E27FC236}">
              <a16:creationId xmlns:a16="http://schemas.microsoft.com/office/drawing/2014/main" id="{1AA341A6-5C8B-5D48-82B3-77801875D818}"/>
            </a:ext>
          </a:extLst>
        </xdr:cNvPr>
        <xdr:cNvSpPr/>
      </xdr:nvSpPr>
      <xdr:spPr>
        <a:xfrm flipV="1">
          <a:off x="15586075" y="13541375"/>
          <a:ext cx="29241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29</xdr:row>
      <xdr:rowOff>447675</xdr:rowOff>
    </xdr:from>
    <xdr:to>
      <xdr:col>4</xdr:col>
      <xdr:colOff>2828925</xdr:colOff>
      <xdr:row>29</xdr:row>
      <xdr:rowOff>600075</xdr:rowOff>
    </xdr:to>
    <xdr:sp macro="" textlink="">
      <xdr:nvSpPr>
        <xdr:cNvPr id="26" name="Rectangle 25">
          <a:hlinkClick xmlns:r="http://schemas.openxmlformats.org/officeDocument/2006/relationships" r:id="rId1"/>
          <a:extLst>
            <a:ext uri="{FF2B5EF4-FFF2-40B4-BE49-F238E27FC236}">
              <a16:creationId xmlns:a16="http://schemas.microsoft.com/office/drawing/2014/main" id="{F875BC66-A57E-874D-9FE3-9734F38E011C}"/>
            </a:ext>
          </a:extLst>
        </xdr:cNvPr>
        <xdr:cNvSpPr/>
      </xdr:nvSpPr>
      <xdr:spPr>
        <a:xfrm>
          <a:off x="15557500" y="13731875"/>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29</xdr:row>
      <xdr:rowOff>387351</xdr:rowOff>
    </xdr:from>
    <xdr:to>
      <xdr:col>4</xdr:col>
      <xdr:colOff>2901950</xdr:colOff>
      <xdr:row>29</xdr:row>
      <xdr:rowOff>723901</xdr:rowOff>
    </xdr:to>
    <xdr:sp macro="" textlink="">
      <xdr:nvSpPr>
        <xdr:cNvPr id="27" name="Rectangle 26">
          <a:hlinkClick xmlns:r="http://schemas.openxmlformats.org/officeDocument/2006/relationships" r:id="rId3"/>
          <a:extLst>
            <a:ext uri="{FF2B5EF4-FFF2-40B4-BE49-F238E27FC236}">
              <a16:creationId xmlns:a16="http://schemas.microsoft.com/office/drawing/2014/main" id="{6CFA50CC-9220-1143-91D8-994783CDE1FB}"/>
            </a:ext>
          </a:extLst>
        </xdr:cNvPr>
        <xdr:cNvSpPr/>
      </xdr:nvSpPr>
      <xdr:spPr>
        <a:xfrm>
          <a:off x="15567025" y="13722351"/>
          <a:ext cx="289242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29</xdr:row>
      <xdr:rowOff>12698</xdr:rowOff>
    </xdr:from>
    <xdr:to>
      <xdr:col>4</xdr:col>
      <xdr:colOff>2914650</xdr:colOff>
      <xdr:row>29</xdr:row>
      <xdr:rowOff>380999</xdr:rowOff>
    </xdr:to>
    <xdr:sp macro="" textlink="">
      <xdr:nvSpPr>
        <xdr:cNvPr id="28" name="Rectangle 27">
          <a:hlinkClick xmlns:r="http://schemas.openxmlformats.org/officeDocument/2006/relationships" r:id="rId2"/>
          <a:extLst>
            <a:ext uri="{FF2B5EF4-FFF2-40B4-BE49-F238E27FC236}">
              <a16:creationId xmlns:a16="http://schemas.microsoft.com/office/drawing/2014/main" id="{CB945843-3127-6E47-9FAA-2B4F56933AD1}"/>
            </a:ext>
          </a:extLst>
        </xdr:cNvPr>
        <xdr:cNvSpPr/>
      </xdr:nvSpPr>
      <xdr:spPr>
        <a:xfrm>
          <a:off x="15389225" y="13550898"/>
          <a:ext cx="3082925" cy="1778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1</xdr:row>
      <xdr:rowOff>12700</xdr:rowOff>
    </xdr:from>
    <xdr:to>
      <xdr:col>0</xdr:col>
      <xdr:colOff>2781300</xdr:colOff>
      <xdr:row>3</xdr:row>
      <xdr:rowOff>165100</xdr:rowOff>
    </xdr:to>
    <xdr:sp macro="" textlink="">
      <xdr:nvSpPr>
        <xdr:cNvPr id="30" name="Rounded Rectangle 29">
          <a:hlinkClick xmlns:r="http://schemas.openxmlformats.org/officeDocument/2006/relationships" r:id="rId4" tooltip="Go to Input sheet"/>
          <a:extLst>
            <a:ext uri="{FF2B5EF4-FFF2-40B4-BE49-F238E27FC236}">
              <a16:creationId xmlns:a16="http://schemas.microsoft.com/office/drawing/2014/main" id="{90DBE70E-1930-394F-B29D-8048D4040363}"/>
            </a:ext>
          </a:extLst>
        </xdr:cNvPr>
        <xdr:cNvSpPr/>
      </xdr:nvSpPr>
      <xdr:spPr>
        <a:xfrm>
          <a:off x="0" y="317500"/>
          <a:ext cx="2781300" cy="533400"/>
        </a:xfrm>
        <a:prstGeom prst="roundRect">
          <a:avLst/>
        </a:prstGeom>
        <a:solidFill>
          <a:srgbClr val="42536B"/>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lang="en-US" sz="1600" b="1">
              <a:solidFill>
                <a:schemeClr val="bg1"/>
              </a:solidFill>
            </a:rPr>
            <a:t>Go back to Input sheet</a:t>
          </a:r>
          <a:endParaRPr lang="en-US" sz="1200">
            <a:solidFill>
              <a:schemeClr val="bg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10</xdr:row>
      <xdr:rowOff>447675</xdr:rowOff>
    </xdr:from>
    <xdr:to>
      <xdr:col>4</xdr:col>
      <xdr:colOff>2828925</xdr:colOff>
      <xdr:row>10</xdr:row>
      <xdr:rowOff>600075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E6421DD-56C1-0342-A7EE-838891E6EB31}"/>
            </a:ext>
          </a:extLst>
        </xdr:cNvPr>
        <xdr:cNvSpPr/>
      </xdr:nvSpPr>
      <xdr:spPr>
        <a:xfrm>
          <a:off x="8407400" y="3800475"/>
          <a:ext cx="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10</xdr:row>
      <xdr:rowOff>387351</xdr:rowOff>
    </xdr:from>
    <xdr:to>
      <xdr:col>4</xdr:col>
      <xdr:colOff>2901950</xdr:colOff>
      <xdr:row>10</xdr:row>
      <xdr:rowOff>723901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C0667186-9E92-5E48-BF28-A32772F925DF}"/>
            </a:ext>
          </a:extLst>
        </xdr:cNvPr>
        <xdr:cNvSpPr/>
      </xdr:nvSpPr>
      <xdr:spPr>
        <a:xfrm>
          <a:off x="8407400" y="3740151"/>
          <a:ext cx="0" cy="222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10</xdr:row>
      <xdr:rowOff>12698</xdr:rowOff>
    </xdr:from>
    <xdr:to>
      <xdr:col>4</xdr:col>
      <xdr:colOff>2914650</xdr:colOff>
      <xdr:row>10</xdr:row>
      <xdr:rowOff>380999</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73E3555C-3DEE-994C-BC62-505C48F7741A}"/>
            </a:ext>
          </a:extLst>
        </xdr:cNvPr>
        <xdr:cNvSpPr/>
      </xdr:nvSpPr>
      <xdr:spPr>
        <a:xfrm>
          <a:off x="8407400" y="3365498"/>
          <a:ext cx="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12</xdr:row>
      <xdr:rowOff>447675</xdr:rowOff>
    </xdr:from>
    <xdr:to>
      <xdr:col>4</xdr:col>
      <xdr:colOff>2828925</xdr:colOff>
      <xdr:row>12</xdr:row>
      <xdr:rowOff>600075</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5052CF19-4454-C54F-ADBD-1D5BE058DD91}"/>
            </a:ext>
          </a:extLst>
        </xdr:cNvPr>
        <xdr:cNvSpPr/>
      </xdr:nvSpPr>
      <xdr:spPr>
        <a:xfrm>
          <a:off x="8407400" y="5019675"/>
          <a:ext cx="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15875</xdr:colOff>
      <xdr:row>12</xdr:row>
      <xdr:rowOff>38101</xdr:rowOff>
    </xdr:from>
    <xdr:to>
      <xdr:col>4</xdr:col>
      <xdr:colOff>2914650</xdr:colOff>
      <xdr:row>12</xdr:row>
      <xdr:rowOff>200026</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13D3EC05-22A9-074F-A1C1-F1C5A5DF8E68}"/>
            </a:ext>
          </a:extLst>
        </xdr:cNvPr>
        <xdr:cNvSpPr/>
      </xdr:nvSpPr>
      <xdr:spPr>
        <a:xfrm>
          <a:off x="8407400" y="4610101"/>
          <a:ext cx="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12</xdr:row>
      <xdr:rowOff>206375</xdr:rowOff>
    </xdr:from>
    <xdr:to>
      <xdr:col>4</xdr:col>
      <xdr:colOff>2914650</xdr:colOff>
      <xdr:row>13</xdr:row>
      <xdr:rowOff>19050</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035F2AFE-765B-204F-B69A-64AB601F53CB}"/>
            </a:ext>
          </a:extLst>
        </xdr:cNvPr>
        <xdr:cNvSpPr/>
      </xdr:nvSpPr>
      <xdr:spPr>
        <a:xfrm>
          <a:off x="8407400" y="4778375"/>
          <a:ext cx="0" cy="422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32</xdr:row>
      <xdr:rowOff>447675</xdr:rowOff>
    </xdr:from>
    <xdr:to>
      <xdr:col>4</xdr:col>
      <xdr:colOff>2828925</xdr:colOff>
      <xdr:row>32</xdr:row>
      <xdr:rowOff>600075</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54D52B55-3A95-0544-A450-0833EB624C61}"/>
            </a:ext>
          </a:extLst>
        </xdr:cNvPr>
        <xdr:cNvSpPr/>
      </xdr:nvSpPr>
      <xdr:spPr>
        <a:xfrm>
          <a:off x="8407400" y="11242675"/>
          <a:ext cx="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32</xdr:row>
      <xdr:rowOff>387351</xdr:rowOff>
    </xdr:from>
    <xdr:to>
      <xdr:col>4</xdr:col>
      <xdr:colOff>2901950</xdr:colOff>
      <xdr:row>32</xdr:row>
      <xdr:rowOff>723901</xdr:rowOff>
    </xdr:to>
    <xdr:sp macro="" textlink="">
      <xdr:nvSpPr>
        <xdr:cNvPr id="9" name="Rectangle 8">
          <a:hlinkClick xmlns:r="http://schemas.openxmlformats.org/officeDocument/2006/relationships" r:id="rId2"/>
          <a:extLst>
            <a:ext uri="{FF2B5EF4-FFF2-40B4-BE49-F238E27FC236}">
              <a16:creationId xmlns:a16="http://schemas.microsoft.com/office/drawing/2014/main" id="{2188CA93-672C-E24E-9525-020CE09BCB72}"/>
            </a:ext>
          </a:extLst>
        </xdr:cNvPr>
        <xdr:cNvSpPr/>
      </xdr:nvSpPr>
      <xdr:spPr>
        <a:xfrm>
          <a:off x="8407400" y="11182351"/>
          <a:ext cx="0" cy="222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32</xdr:row>
      <xdr:rowOff>12698</xdr:rowOff>
    </xdr:from>
    <xdr:to>
      <xdr:col>4</xdr:col>
      <xdr:colOff>2914650</xdr:colOff>
      <xdr:row>32</xdr:row>
      <xdr:rowOff>380999</xdr:rowOff>
    </xdr:to>
    <xdr:sp macro="" textlink="">
      <xdr:nvSpPr>
        <xdr:cNvPr id="10" name="Rectangle 9">
          <a:hlinkClick xmlns:r="http://schemas.openxmlformats.org/officeDocument/2006/relationships" r:id="rId3"/>
          <a:extLst>
            <a:ext uri="{FF2B5EF4-FFF2-40B4-BE49-F238E27FC236}">
              <a16:creationId xmlns:a16="http://schemas.microsoft.com/office/drawing/2014/main" id="{45E489B1-D68F-704F-B9BA-CE833A088680}"/>
            </a:ext>
          </a:extLst>
        </xdr:cNvPr>
        <xdr:cNvSpPr/>
      </xdr:nvSpPr>
      <xdr:spPr>
        <a:xfrm>
          <a:off x="8407400" y="10807698"/>
          <a:ext cx="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38</xdr:row>
      <xdr:rowOff>447675</xdr:rowOff>
    </xdr:from>
    <xdr:to>
      <xdr:col>4</xdr:col>
      <xdr:colOff>2828925</xdr:colOff>
      <xdr:row>38</xdr:row>
      <xdr:rowOff>600075</xdr:rowOff>
    </xdr:to>
    <xdr:sp macro="" textlink="">
      <xdr:nvSpPr>
        <xdr:cNvPr id="11" name="Rectangle 10">
          <a:hlinkClick xmlns:r="http://schemas.openxmlformats.org/officeDocument/2006/relationships" r:id="rId1"/>
          <a:extLst>
            <a:ext uri="{FF2B5EF4-FFF2-40B4-BE49-F238E27FC236}">
              <a16:creationId xmlns:a16="http://schemas.microsoft.com/office/drawing/2014/main" id="{D9A704F4-5A47-9D44-A570-EA9DEA96B3BC}"/>
            </a:ext>
          </a:extLst>
        </xdr:cNvPr>
        <xdr:cNvSpPr/>
      </xdr:nvSpPr>
      <xdr:spPr>
        <a:xfrm>
          <a:off x="8407400" y="14074775"/>
          <a:ext cx="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38</xdr:row>
      <xdr:rowOff>387351</xdr:rowOff>
    </xdr:from>
    <xdr:to>
      <xdr:col>4</xdr:col>
      <xdr:colOff>2901950</xdr:colOff>
      <xdr:row>38</xdr:row>
      <xdr:rowOff>723901</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CAF1A76C-DDE4-2648-BFD3-7CB04BA23A34}"/>
            </a:ext>
          </a:extLst>
        </xdr:cNvPr>
        <xdr:cNvSpPr/>
      </xdr:nvSpPr>
      <xdr:spPr>
        <a:xfrm>
          <a:off x="8407400" y="14014451"/>
          <a:ext cx="0" cy="336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38</xdr:row>
      <xdr:rowOff>12698</xdr:rowOff>
    </xdr:from>
    <xdr:to>
      <xdr:col>4</xdr:col>
      <xdr:colOff>2914650</xdr:colOff>
      <xdr:row>38</xdr:row>
      <xdr:rowOff>380999</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4FA36EF2-D97B-164B-BF9D-1D09B3E969D1}"/>
            </a:ext>
          </a:extLst>
        </xdr:cNvPr>
        <xdr:cNvSpPr/>
      </xdr:nvSpPr>
      <xdr:spPr>
        <a:xfrm>
          <a:off x="8407400" y="13639798"/>
          <a:ext cx="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50</xdr:row>
      <xdr:rowOff>447675</xdr:rowOff>
    </xdr:from>
    <xdr:to>
      <xdr:col>4</xdr:col>
      <xdr:colOff>2828925</xdr:colOff>
      <xdr:row>50</xdr:row>
      <xdr:rowOff>600075</xdr:rowOff>
    </xdr:to>
    <xdr:sp macro="" textlink="">
      <xdr:nvSpPr>
        <xdr:cNvPr id="14" name="Rectangle 13">
          <a:hlinkClick xmlns:r="http://schemas.openxmlformats.org/officeDocument/2006/relationships" r:id="rId1"/>
          <a:extLst>
            <a:ext uri="{FF2B5EF4-FFF2-40B4-BE49-F238E27FC236}">
              <a16:creationId xmlns:a16="http://schemas.microsoft.com/office/drawing/2014/main" id="{19825F3E-08A8-C148-9E2A-74C9072D7D31}"/>
            </a:ext>
          </a:extLst>
        </xdr:cNvPr>
        <xdr:cNvSpPr/>
      </xdr:nvSpPr>
      <xdr:spPr>
        <a:xfrm>
          <a:off x="8407400" y="18697575"/>
          <a:ext cx="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50</xdr:row>
      <xdr:rowOff>387351</xdr:rowOff>
    </xdr:from>
    <xdr:to>
      <xdr:col>4</xdr:col>
      <xdr:colOff>2901950</xdr:colOff>
      <xdr:row>50</xdr:row>
      <xdr:rowOff>723901</xdr:rowOff>
    </xdr:to>
    <xdr:sp macro="" textlink="">
      <xdr:nvSpPr>
        <xdr:cNvPr id="15" name="Rectangle 14">
          <a:hlinkClick xmlns:r="http://schemas.openxmlformats.org/officeDocument/2006/relationships" r:id="rId2"/>
          <a:extLst>
            <a:ext uri="{FF2B5EF4-FFF2-40B4-BE49-F238E27FC236}">
              <a16:creationId xmlns:a16="http://schemas.microsoft.com/office/drawing/2014/main" id="{E85A1A7D-E8F4-6549-956A-DCFF936B16DD}"/>
            </a:ext>
          </a:extLst>
        </xdr:cNvPr>
        <xdr:cNvSpPr/>
      </xdr:nvSpPr>
      <xdr:spPr>
        <a:xfrm>
          <a:off x="8407400" y="18637251"/>
          <a:ext cx="0" cy="222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50</xdr:row>
      <xdr:rowOff>12698</xdr:rowOff>
    </xdr:from>
    <xdr:to>
      <xdr:col>4</xdr:col>
      <xdr:colOff>2914650</xdr:colOff>
      <xdr:row>50</xdr:row>
      <xdr:rowOff>380999</xdr:rowOff>
    </xdr:to>
    <xdr:sp macro="" textlink="">
      <xdr:nvSpPr>
        <xdr:cNvPr id="16" name="Rectangle 15">
          <a:hlinkClick xmlns:r="http://schemas.openxmlformats.org/officeDocument/2006/relationships" r:id="rId3"/>
          <a:extLst>
            <a:ext uri="{FF2B5EF4-FFF2-40B4-BE49-F238E27FC236}">
              <a16:creationId xmlns:a16="http://schemas.microsoft.com/office/drawing/2014/main" id="{5CB04359-E87C-A244-9AE5-0710C0DE3C48}"/>
            </a:ext>
          </a:extLst>
        </xdr:cNvPr>
        <xdr:cNvSpPr/>
      </xdr:nvSpPr>
      <xdr:spPr>
        <a:xfrm>
          <a:off x="8407400" y="18262598"/>
          <a:ext cx="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114300</xdr:colOff>
      <xdr:row>1</xdr:row>
      <xdr:rowOff>0</xdr:rowOff>
    </xdr:from>
    <xdr:to>
      <xdr:col>2</xdr:col>
      <xdr:colOff>1371600</xdr:colOff>
      <xdr:row>1</xdr:row>
      <xdr:rowOff>419100</xdr:rowOff>
    </xdr:to>
    <xdr:sp macro="" textlink="">
      <xdr:nvSpPr>
        <xdr:cNvPr id="17" name="Rounded Rectangle 16">
          <a:hlinkClick xmlns:r="http://schemas.openxmlformats.org/officeDocument/2006/relationships" r:id="rId5"/>
          <a:extLst>
            <a:ext uri="{FF2B5EF4-FFF2-40B4-BE49-F238E27FC236}">
              <a16:creationId xmlns:a16="http://schemas.microsoft.com/office/drawing/2014/main" id="{D0AEEBCE-63CD-6946-B7ED-C268961881C9}"/>
            </a:ext>
          </a:extLst>
        </xdr:cNvPr>
        <xdr:cNvSpPr/>
      </xdr:nvSpPr>
      <xdr:spPr>
        <a:xfrm>
          <a:off x="5473700" y="317500"/>
          <a:ext cx="2781300" cy="596900"/>
        </a:xfrm>
        <a:prstGeom prst="roundRect">
          <a:avLst/>
        </a:prstGeom>
        <a:solidFill>
          <a:srgbClr val="42536B"/>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lang="en-US" sz="1600" b="1">
              <a:solidFill>
                <a:schemeClr val="bg1"/>
              </a:solidFill>
            </a:rPr>
            <a:t>Go to User Guide</a:t>
          </a:r>
          <a:endParaRPr lang="en-US" sz="1200">
            <a:solidFill>
              <a:schemeClr val="bg1"/>
            </a:solidFill>
          </a:endParaRPr>
        </a:p>
      </xdr:txBody>
    </xdr:sp>
    <xdr:clientData/>
  </xdr:twoCellAnchor>
  <xdr:twoCellAnchor>
    <xdr:from>
      <xdr:col>1</xdr:col>
      <xdr:colOff>114300</xdr:colOff>
      <xdr:row>1</xdr:row>
      <xdr:rowOff>469900</xdr:rowOff>
    </xdr:from>
    <xdr:to>
      <xdr:col>2</xdr:col>
      <xdr:colOff>1371600</xdr:colOff>
      <xdr:row>5</xdr:row>
      <xdr:rowOff>0</xdr:rowOff>
    </xdr:to>
    <xdr:sp macro="" textlink="">
      <xdr:nvSpPr>
        <xdr:cNvPr id="18" name="Rounded Rectangle 17">
          <a:hlinkClick xmlns:r="http://schemas.openxmlformats.org/officeDocument/2006/relationships" r:id="rId6"/>
          <a:extLst>
            <a:ext uri="{FF2B5EF4-FFF2-40B4-BE49-F238E27FC236}">
              <a16:creationId xmlns:a16="http://schemas.microsoft.com/office/drawing/2014/main" id="{6E3E462E-63B4-344E-82CD-6B27C0D9CDCA}"/>
            </a:ext>
          </a:extLst>
        </xdr:cNvPr>
        <xdr:cNvSpPr/>
      </xdr:nvSpPr>
      <xdr:spPr>
        <a:xfrm>
          <a:off x="5473700" y="965200"/>
          <a:ext cx="2781300" cy="596900"/>
        </a:xfrm>
        <a:prstGeom prst="roundRect">
          <a:avLst/>
        </a:prstGeom>
        <a:solidFill>
          <a:srgbClr val="42536B"/>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lang="en-US" sz="1600" b="1">
              <a:solidFill>
                <a:schemeClr val="bg1"/>
              </a:solidFill>
            </a:rPr>
            <a:t>Go to Notes</a:t>
          </a:r>
          <a:endParaRPr lang="en-US" sz="1200">
            <a:solidFill>
              <a:schemeClr val="bg1"/>
            </a:solidFill>
          </a:endParaRPr>
        </a:p>
      </xdr:txBody>
    </xdr:sp>
    <xdr:clientData/>
  </xdr:twoCellAnchor>
  <xdr:twoCellAnchor>
    <xdr:from>
      <xdr:col>0</xdr:col>
      <xdr:colOff>0</xdr:colOff>
      <xdr:row>2</xdr:row>
      <xdr:rowOff>12700</xdr:rowOff>
    </xdr:from>
    <xdr:to>
      <xdr:col>0</xdr:col>
      <xdr:colOff>2781300</xdr:colOff>
      <xdr:row>4</xdr:row>
      <xdr:rowOff>165100</xdr:rowOff>
    </xdr:to>
    <xdr:sp macro="" textlink="">
      <xdr:nvSpPr>
        <xdr:cNvPr id="19" name="Rounded Rectangle 18">
          <a:hlinkClick xmlns:r="http://schemas.openxmlformats.org/officeDocument/2006/relationships" r:id="rId7" tooltip="Go to Input sheet"/>
          <a:extLst>
            <a:ext uri="{FF2B5EF4-FFF2-40B4-BE49-F238E27FC236}">
              <a16:creationId xmlns:a16="http://schemas.microsoft.com/office/drawing/2014/main" id="{1E785F37-6850-5144-A394-B46EFC5EFDA6}"/>
            </a:ext>
          </a:extLst>
        </xdr:cNvPr>
        <xdr:cNvSpPr/>
      </xdr:nvSpPr>
      <xdr:spPr>
        <a:xfrm>
          <a:off x="0" y="317500"/>
          <a:ext cx="2781300" cy="533400"/>
        </a:xfrm>
        <a:prstGeom prst="roundRect">
          <a:avLst/>
        </a:prstGeom>
        <a:solidFill>
          <a:srgbClr val="42536B"/>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lang="en-US" sz="1600" b="1">
              <a:solidFill>
                <a:schemeClr val="bg1"/>
              </a:solidFill>
            </a:rPr>
            <a:t>Go back to Input sheet</a:t>
          </a:r>
          <a:endParaRPr lang="en-US" sz="1200">
            <a:solidFill>
              <a:schemeClr val="bg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0</xdr:colOff>
      <xdr:row>8</xdr:row>
      <xdr:rowOff>447675</xdr:rowOff>
    </xdr:from>
    <xdr:to>
      <xdr:col>9</xdr:col>
      <xdr:colOff>2828925</xdr:colOff>
      <xdr:row>8</xdr:row>
      <xdr:rowOff>600075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E932BC9-9D79-4BAB-8D85-E377576140D1}"/>
            </a:ext>
          </a:extLst>
        </xdr:cNvPr>
        <xdr:cNvSpPr/>
      </xdr:nvSpPr>
      <xdr:spPr>
        <a:xfrm>
          <a:off x="14277975" y="10893425"/>
          <a:ext cx="28257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28574</xdr:colOff>
      <xdr:row>8</xdr:row>
      <xdr:rowOff>628650</xdr:rowOff>
    </xdr:from>
    <xdr:to>
      <xdr:col>9</xdr:col>
      <xdr:colOff>2838449</xdr:colOff>
      <xdr:row>8</xdr:row>
      <xdr:rowOff>971550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9CA3CDC-6F89-4950-B39F-7398168CC290}"/>
            </a:ext>
          </a:extLst>
        </xdr:cNvPr>
        <xdr:cNvSpPr/>
      </xdr:nvSpPr>
      <xdr:spPr>
        <a:xfrm>
          <a:off x="14309724" y="11077575"/>
          <a:ext cx="28067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28575</xdr:colOff>
      <xdr:row>8</xdr:row>
      <xdr:rowOff>971550</xdr:rowOff>
    </xdr:from>
    <xdr:to>
      <xdr:col>9</xdr:col>
      <xdr:colOff>2952750</xdr:colOff>
      <xdr:row>9</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BB273C8C-4964-4F4B-9C14-89AE92361C0C}"/>
            </a:ext>
          </a:extLst>
        </xdr:cNvPr>
        <xdr:cNvSpPr/>
      </xdr:nvSpPr>
      <xdr:spPr>
        <a:xfrm>
          <a:off x="14303375" y="11420475"/>
          <a:ext cx="29273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9</xdr:row>
      <xdr:rowOff>447675</xdr:rowOff>
    </xdr:from>
    <xdr:to>
      <xdr:col>9</xdr:col>
      <xdr:colOff>2828925</xdr:colOff>
      <xdr:row>9</xdr:row>
      <xdr:rowOff>600075</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AC486362-E136-45EF-A5B4-3896DAD2061B}"/>
            </a:ext>
          </a:extLst>
        </xdr:cNvPr>
        <xdr:cNvSpPr/>
      </xdr:nvSpPr>
      <xdr:spPr>
        <a:xfrm>
          <a:off x="14277975" y="12036425"/>
          <a:ext cx="28257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9</xdr:row>
      <xdr:rowOff>387350</xdr:rowOff>
    </xdr:from>
    <xdr:to>
      <xdr:col>9</xdr:col>
      <xdr:colOff>2901950</xdr:colOff>
      <xdr:row>10</xdr:row>
      <xdr:rowOff>15875</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9E096FDD-85AA-4C24-AD79-AF1DD05CE6D8}"/>
            </a:ext>
          </a:extLst>
        </xdr:cNvPr>
        <xdr:cNvSpPr/>
      </xdr:nvSpPr>
      <xdr:spPr>
        <a:xfrm>
          <a:off x="14284325" y="11982450"/>
          <a:ext cx="2898775" cy="187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28575</xdr:colOff>
      <xdr:row>9</xdr:row>
      <xdr:rowOff>38099</xdr:rowOff>
    </xdr:from>
    <xdr:to>
      <xdr:col>9</xdr:col>
      <xdr:colOff>2952750</xdr:colOff>
      <xdr:row>9</xdr:row>
      <xdr:rowOff>393699</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7C87688F-266F-4945-A4CF-4FB95218101D}"/>
            </a:ext>
          </a:extLst>
        </xdr:cNvPr>
        <xdr:cNvSpPr/>
      </xdr:nvSpPr>
      <xdr:spPr>
        <a:xfrm>
          <a:off x="14303375" y="11630024"/>
          <a:ext cx="292735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10</xdr:row>
      <xdr:rowOff>447675</xdr:rowOff>
    </xdr:from>
    <xdr:to>
      <xdr:col>9</xdr:col>
      <xdr:colOff>2828925</xdr:colOff>
      <xdr:row>10</xdr:row>
      <xdr:rowOff>600075</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B2CDD6F4-8E7A-4779-B926-3909913979AB}"/>
            </a:ext>
          </a:extLst>
        </xdr:cNvPr>
        <xdr:cNvSpPr/>
      </xdr:nvSpPr>
      <xdr:spPr>
        <a:xfrm>
          <a:off x="10639425" y="3968750"/>
          <a:ext cx="20256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10</xdr:row>
      <xdr:rowOff>387350</xdr:rowOff>
    </xdr:from>
    <xdr:to>
      <xdr:col>9</xdr:col>
      <xdr:colOff>2901950</xdr:colOff>
      <xdr:row>11</xdr:row>
      <xdr:rowOff>15875</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41B6DBDD-944A-4BA2-ACA3-6932F30AC711}"/>
            </a:ext>
          </a:extLst>
        </xdr:cNvPr>
        <xdr:cNvSpPr/>
      </xdr:nvSpPr>
      <xdr:spPr>
        <a:xfrm>
          <a:off x="10645775" y="3914775"/>
          <a:ext cx="2022475" cy="549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28575</xdr:colOff>
      <xdr:row>10</xdr:row>
      <xdr:rowOff>38099</xdr:rowOff>
    </xdr:from>
    <xdr:to>
      <xdr:col>9</xdr:col>
      <xdr:colOff>2952750</xdr:colOff>
      <xdr:row>10</xdr:row>
      <xdr:rowOff>393699</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56418662-821D-4DA7-A256-29793F20B10D}"/>
            </a:ext>
          </a:extLst>
        </xdr:cNvPr>
        <xdr:cNvSpPr/>
      </xdr:nvSpPr>
      <xdr:spPr>
        <a:xfrm>
          <a:off x="10664825" y="3562349"/>
          <a:ext cx="200342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10</xdr:row>
      <xdr:rowOff>387350</xdr:rowOff>
    </xdr:from>
    <xdr:to>
      <xdr:col>9</xdr:col>
      <xdr:colOff>2901950</xdr:colOff>
      <xdr:row>11</xdr:row>
      <xdr:rowOff>15875</xdr:rowOff>
    </xdr:to>
    <xdr:sp macro="" textlink="">
      <xdr:nvSpPr>
        <xdr:cNvPr id="11" name="Rectangle 10">
          <a:hlinkClick xmlns:r="http://schemas.openxmlformats.org/officeDocument/2006/relationships" r:id="rId3"/>
          <a:extLst>
            <a:ext uri="{FF2B5EF4-FFF2-40B4-BE49-F238E27FC236}">
              <a16:creationId xmlns:a16="http://schemas.microsoft.com/office/drawing/2014/main" id="{A804C130-9BEB-42DA-B65E-B6B5D9D97D14}"/>
            </a:ext>
          </a:extLst>
        </xdr:cNvPr>
        <xdr:cNvSpPr/>
      </xdr:nvSpPr>
      <xdr:spPr>
        <a:xfrm>
          <a:off x="9074150" y="4105275"/>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11</xdr:row>
      <xdr:rowOff>447675</xdr:rowOff>
    </xdr:from>
    <xdr:to>
      <xdr:col>9</xdr:col>
      <xdr:colOff>2828925</xdr:colOff>
      <xdr:row>11</xdr:row>
      <xdr:rowOff>600075</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29749692-4E00-4C46-8A3F-67994AA861B4}"/>
            </a:ext>
          </a:extLst>
        </xdr:cNvPr>
        <xdr:cNvSpPr/>
      </xdr:nvSpPr>
      <xdr:spPr>
        <a:xfrm>
          <a:off x="9067800" y="4711700"/>
          <a:ext cx="28257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11</xdr:row>
      <xdr:rowOff>387350</xdr:rowOff>
    </xdr:from>
    <xdr:to>
      <xdr:col>9</xdr:col>
      <xdr:colOff>2901950</xdr:colOff>
      <xdr:row>12</xdr:row>
      <xdr:rowOff>15875</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A41964BB-BCF8-4F0E-B4C9-BBBCADDF3E22}"/>
            </a:ext>
          </a:extLst>
        </xdr:cNvPr>
        <xdr:cNvSpPr/>
      </xdr:nvSpPr>
      <xdr:spPr>
        <a:xfrm>
          <a:off x="9074150" y="4657725"/>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28575</xdr:colOff>
      <xdr:row>11</xdr:row>
      <xdr:rowOff>38099</xdr:rowOff>
    </xdr:from>
    <xdr:to>
      <xdr:col>9</xdr:col>
      <xdr:colOff>2952750</xdr:colOff>
      <xdr:row>11</xdr:row>
      <xdr:rowOff>393699</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BDBD8264-A664-4B88-BE33-011E48F7A269}"/>
            </a:ext>
          </a:extLst>
        </xdr:cNvPr>
        <xdr:cNvSpPr/>
      </xdr:nvSpPr>
      <xdr:spPr>
        <a:xfrm>
          <a:off x="9093200" y="4305299"/>
          <a:ext cx="292735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11</xdr:row>
      <xdr:rowOff>387350</xdr:rowOff>
    </xdr:from>
    <xdr:to>
      <xdr:col>9</xdr:col>
      <xdr:colOff>2901950</xdr:colOff>
      <xdr:row>12</xdr:row>
      <xdr:rowOff>15875</xdr:rowOff>
    </xdr:to>
    <xdr:sp macro="" textlink="">
      <xdr:nvSpPr>
        <xdr:cNvPr id="15" name="Rectangle 14">
          <a:hlinkClick xmlns:r="http://schemas.openxmlformats.org/officeDocument/2006/relationships" r:id="rId3"/>
          <a:extLst>
            <a:ext uri="{FF2B5EF4-FFF2-40B4-BE49-F238E27FC236}">
              <a16:creationId xmlns:a16="http://schemas.microsoft.com/office/drawing/2014/main" id="{F67FFD3D-FD67-4721-89FE-E40A48131D74}"/>
            </a:ext>
          </a:extLst>
        </xdr:cNvPr>
        <xdr:cNvSpPr/>
      </xdr:nvSpPr>
      <xdr:spPr>
        <a:xfrm>
          <a:off x="9074150" y="4105275"/>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12</xdr:row>
      <xdr:rowOff>447675</xdr:rowOff>
    </xdr:from>
    <xdr:to>
      <xdr:col>9</xdr:col>
      <xdr:colOff>2828925</xdr:colOff>
      <xdr:row>12</xdr:row>
      <xdr:rowOff>600075</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DEB889CB-EA62-40D0-8EF7-539552EFD831}"/>
            </a:ext>
          </a:extLst>
        </xdr:cNvPr>
        <xdr:cNvSpPr/>
      </xdr:nvSpPr>
      <xdr:spPr>
        <a:xfrm>
          <a:off x="9067800" y="4711700"/>
          <a:ext cx="28257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12</xdr:row>
      <xdr:rowOff>387350</xdr:rowOff>
    </xdr:from>
    <xdr:to>
      <xdr:col>9</xdr:col>
      <xdr:colOff>2901950</xdr:colOff>
      <xdr:row>13</xdr:row>
      <xdr:rowOff>15875</xdr:rowOff>
    </xdr:to>
    <xdr:sp macro="" textlink="">
      <xdr:nvSpPr>
        <xdr:cNvPr id="17" name="Rectangle 16">
          <a:hlinkClick xmlns:r="http://schemas.openxmlformats.org/officeDocument/2006/relationships" r:id="rId3"/>
          <a:extLst>
            <a:ext uri="{FF2B5EF4-FFF2-40B4-BE49-F238E27FC236}">
              <a16:creationId xmlns:a16="http://schemas.microsoft.com/office/drawing/2014/main" id="{EA4BC023-DED9-4A8B-A2A5-1A627BA357C3}"/>
            </a:ext>
          </a:extLst>
        </xdr:cNvPr>
        <xdr:cNvSpPr/>
      </xdr:nvSpPr>
      <xdr:spPr>
        <a:xfrm>
          <a:off x="9074150" y="4657725"/>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28575</xdr:colOff>
      <xdr:row>12</xdr:row>
      <xdr:rowOff>38099</xdr:rowOff>
    </xdr:from>
    <xdr:to>
      <xdr:col>9</xdr:col>
      <xdr:colOff>2952750</xdr:colOff>
      <xdr:row>12</xdr:row>
      <xdr:rowOff>393699</xdr:rowOff>
    </xdr:to>
    <xdr:sp macro="" textlink="">
      <xdr:nvSpPr>
        <xdr:cNvPr id="18" name="Rectangle 17">
          <a:hlinkClick xmlns:r="http://schemas.openxmlformats.org/officeDocument/2006/relationships" r:id="rId2"/>
          <a:extLst>
            <a:ext uri="{FF2B5EF4-FFF2-40B4-BE49-F238E27FC236}">
              <a16:creationId xmlns:a16="http://schemas.microsoft.com/office/drawing/2014/main" id="{14CD7B86-3C5B-498F-95E6-7395173AAF34}"/>
            </a:ext>
          </a:extLst>
        </xdr:cNvPr>
        <xdr:cNvSpPr/>
      </xdr:nvSpPr>
      <xdr:spPr>
        <a:xfrm>
          <a:off x="9093200" y="4305299"/>
          <a:ext cx="292735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12</xdr:row>
      <xdr:rowOff>387350</xdr:rowOff>
    </xdr:from>
    <xdr:to>
      <xdr:col>9</xdr:col>
      <xdr:colOff>2901950</xdr:colOff>
      <xdr:row>13</xdr:row>
      <xdr:rowOff>15875</xdr:rowOff>
    </xdr:to>
    <xdr:sp macro="" textlink="">
      <xdr:nvSpPr>
        <xdr:cNvPr id="19" name="Rectangle 18">
          <a:hlinkClick xmlns:r="http://schemas.openxmlformats.org/officeDocument/2006/relationships" r:id="rId3"/>
          <a:extLst>
            <a:ext uri="{FF2B5EF4-FFF2-40B4-BE49-F238E27FC236}">
              <a16:creationId xmlns:a16="http://schemas.microsoft.com/office/drawing/2014/main" id="{E7A234AE-EB2E-44AD-A56B-691DA463B28E}"/>
            </a:ext>
          </a:extLst>
        </xdr:cNvPr>
        <xdr:cNvSpPr/>
      </xdr:nvSpPr>
      <xdr:spPr>
        <a:xfrm>
          <a:off x="9074150" y="4657725"/>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13</xdr:row>
      <xdr:rowOff>234950</xdr:rowOff>
    </xdr:from>
    <xdr:to>
      <xdr:col>9</xdr:col>
      <xdr:colOff>2828925</xdr:colOff>
      <xdr:row>13</xdr:row>
      <xdr:rowOff>387350</xdr:rowOff>
    </xdr:to>
    <xdr:sp macro="" textlink="">
      <xdr:nvSpPr>
        <xdr:cNvPr id="20" name="Rectangle 19">
          <a:hlinkClick xmlns:r="http://schemas.openxmlformats.org/officeDocument/2006/relationships" r:id="rId1"/>
          <a:extLst>
            <a:ext uri="{FF2B5EF4-FFF2-40B4-BE49-F238E27FC236}">
              <a16:creationId xmlns:a16="http://schemas.microsoft.com/office/drawing/2014/main" id="{B2377204-C168-44FD-8394-C4DF0F5EB525}"/>
            </a:ext>
          </a:extLst>
        </xdr:cNvPr>
        <xdr:cNvSpPr/>
      </xdr:nvSpPr>
      <xdr:spPr>
        <a:xfrm>
          <a:off x="14277975" y="16754475"/>
          <a:ext cx="28257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3174</xdr:colOff>
      <xdr:row>13</xdr:row>
      <xdr:rowOff>415925</xdr:rowOff>
    </xdr:from>
    <xdr:to>
      <xdr:col>9</xdr:col>
      <xdr:colOff>2813049</xdr:colOff>
      <xdr:row>13</xdr:row>
      <xdr:rowOff>714375</xdr:rowOff>
    </xdr:to>
    <xdr:sp macro="" textlink="">
      <xdr:nvSpPr>
        <xdr:cNvPr id="21" name="Rectangle 20">
          <a:hlinkClick xmlns:r="http://schemas.openxmlformats.org/officeDocument/2006/relationships" r:id="rId2"/>
          <a:extLst>
            <a:ext uri="{FF2B5EF4-FFF2-40B4-BE49-F238E27FC236}">
              <a16:creationId xmlns:a16="http://schemas.microsoft.com/office/drawing/2014/main" id="{45948E24-C86E-49CF-BEB9-5F2D6E2A6349}"/>
            </a:ext>
          </a:extLst>
        </xdr:cNvPr>
        <xdr:cNvSpPr/>
      </xdr:nvSpPr>
      <xdr:spPr>
        <a:xfrm>
          <a:off x="14281149" y="16932275"/>
          <a:ext cx="2806700"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28575</xdr:colOff>
      <xdr:row>13</xdr:row>
      <xdr:rowOff>752475</xdr:rowOff>
    </xdr:from>
    <xdr:to>
      <xdr:col>9</xdr:col>
      <xdr:colOff>2952750</xdr:colOff>
      <xdr:row>14</xdr:row>
      <xdr:rowOff>0</xdr:rowOff>
    </xdr:to>
    <xdr:sp macro="" textlink="">
      <xdr:nvSpPr>
        <xdr:cNvPr id="22" name="Rectangle 21">
          <a:hlinkClick xmlns:r="http://schemas.openxmlformats.org/officeDocument/2006/relationships" r:id="rId3"/>
          <a:extLst>
            <a:ext uri="{FF2B5EF4-FFF2-40B4-BE49-F238E27FC236}">
              <a16:creationId xmlns:a16="http://schemas.microsoft.com/office/drawing/2014/main" id="{E1FEBDA7-8341-4812-8BF1-44DD39840D24}"/>
            </a:ext>
          </a:extLst>
        </xdr:cNvPr>
        <xdr:cNvSpPr/>
      </xdr:nvSpPr>
      <xdr:spPr>
        <a:xfrm flipV="1">
          <a:off x="14303375" y="17265650"/>
          <a:ext cx="2927350" cy="174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14</xdr:row>
      <xdr:rowOff>447675</xdr:rowOff>
    </xdr:from>
    <xdr:to>
      <xdr:col>9</xdr:col>
      <xdr:colOff>2828925</xdr:colOff>
      <xdr:row>14</xdr:row>
      <xdr:rowOff>600075</xdr:rowOff>
    </xdr:to>
    <xdr:sp macro="" textlink="">
      <xdr:nvSpPr>
        <xdr:cNvPr id="27" name="Rectangle 26">
          <a:hlinkClick xmlns:r="http://schemas.openxmlformats.org/officeDocument/2006/relationships" r:id="rId1"/>
          <a:extLst>
            <a:ext uri="{FF2B5EF4-FFF2-40B4-BE49-F238E27FC236}">
              <a16:creationId xmlns:a16="http://schemas.microsoft.com/office/drawing/2014/main" id="{29C6EA41-9C37-44BC-AA72-233BA0DCE837}"/>
            </a:ext>
          </a:extLst>
        </xdr:cNvPr>
        <xdr:cNvSpPr/>
      </xdr:nvSpPr>
      <xdr:spPr>
        <a:xfrm>
          <a:off x="14277975" y="17884775"/>
          <a:ext cx="28257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14</xdr:row>
      <xdr:rowOff>387351</xdr:rowOff>
    </xdr:from>
    <xdr:to>
      <xdr:col>9</xdr:col>
      <xdr:colOff>2901950</xdr:colOff>
      <xdr:row>14</xdr:row>
      <xdr:rowOff>723901</xdr:rowOff>
    </xdr:to>
    <xdr:sp macro="" textlink="">
      <xdr:nvSpPr>
        <xdr:cNvPr id="28" name="Rectangle 27">
          <a:hlinkClick xmlns:r="http://schemas.openxmlformats.org/officeDocument/2006/relationships" r:id="rId3"/>
          <a:extLst>
            <a:ext uri="{FF2B5EF4-FFF2-40B4-BE49-F238E27FC236}">
              <a16:creationId xmlns:a16="http://schemas.microsoft.com/office/drawing/2014/main" id="{93BC305C-8F70-4035-8D8D-D0AD033A8356}"/>
            </a:ext>
          </a:extLst>
        </xdr:cNvPr>
        <xdr:cNvSpPr/>
      </xdr:nvSpPr>
      <xdr:spPr>
        <a:xfrm>
          <a:off x="14284325" y="17830801"/>
          <a:ext cx="28987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14</xdr:row>
      <xdr:rowOff>12698</xdr:rowOff>
    </xdr:from>
    <xdr:to>
      <xdr:col>9</xdr:col>
      <xdr:colOff>2914650</xdr:colOff>
      <xdr:row>14</xdr:row>
      <xdr:rowOff>380999</xdr:rowOff>
    </xdr:to>
    <xdr:sp macro="" textlink="">
      <xdr:nvSpPr>
        <xdr:cNvPr id="29" name="Rectangle 28">
          <a:hlinkClick xmlns:r="http://schemas.openxmlformats.org/officeDocument/2006/relationships" r:id="rId2"/>
          <a:extLst>
            <a:ext uri="{FF2B5EF4-FFF2-40B4-BE49-F238E27FC236}">
              <a16:creationId xmlns:a16="http://schemas.microsoft.com/office/drawing/2014/main" id="{09570F62-64E2-4D42-B722-7E7B80DFB8C9}"/>
            </a:ext>
          </a:extLst>
        </xdr:cNvPr>
        <xdr:cNvSpPr/>
      </xdr:nvSpPr>
      <xdr:spPr>
        <a:xfrm>
          <a:off x="14265275" y="17449798"/>
          <a:ext cx="2927350"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15</xdr:row>
      <xdr:rowOff>447675</xdr:rowOff>
    </xdr:from>
    <xdr:to>
      <xdr:col>9</xdr:col>
      <xdr:colOff>2828925</xdr:colOff>
      <xdr:row>15</xdr:row>
      <xdr:rowOff>600075</xdr:rowOff>
    </xdr:to>
    <xdr:sp macro="" textlink="">
      <xdr:nvSpPr>
        <xdr:cNvPr id="30" name="Rectangle 29">
          <a:hlinkClick xmlns:r="http://schemas.openxmlformats.org/officeDocument/2006/relationships" r:id="rId1"/>
          <a:extLst>
            <a:ext uri="{FF2B5EF4-FFF2-40B4-BE49-F238E27FC236}">
              <a16:creationId xmlns:a16="http://schemas.microsoft.com/office/drawing/2014/main" id="{702D9F41-EADD-4E45-AB07-B71123EEB57A}"/>
            </a:ext>
          </a:extLst>
        </xdr:cNvPr>
        <xdr:cNvSpPr/>
      </xdr:nvSpPr>
      <xdr:spPr>
        <a:xfrm>
          <a:off x="9067800" y="7102475"/>
          <a:ext cx="28257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15</xdr:row>
      <xdr:rowOff>387351</xdr:rowOff>
    </xdr:from>
    <xdr:to>
      <xdr:col>9</xdr:col>
      <xdr:colOff>2901950</xdr:colOff>
      <xdr:row>15</xdr:row>
      <xdr:rowOff>723901</xdr:rowOff>
    </xdr:to>
    <xdr:sp macro="" textlink="">
      <xdr:nvSpPr>
        <xdr:cNvPr id="31" name="Rectangle 30">
          <a:hlinkClick xmlns:r="http://schemas.openxmlformats.org/officeDocument/2006/relationships" r:id="rId3"/>
          <a:extLst>
            <a:ext uri="{FF2B5EF4-FFF2-40B4-BE49-F238E27FC236}">
              <a16:creationId xmlns:a16="http://schemas.microsoft.com/office/drawing/2014/main" id="{EE3572F5-6BF1-4946-B6BD-902BF5F5443D}"/>
            </a:ext>
          </a:extLst>
        </xdr:cNvPr>
        <xdr:cNvSpPr/>
      </xdr:nvSpPr>
      <xdr:spPr>
        <a:xfrm>
          <a:off x="9074150" y="7048501"/>
          <a:ext cx="28987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15</xdr:row>
      <xdr:rowOff>12698</xdr:rowOff>
    </xdr:from>
    <xdr:to>
      <xdr:col>9</xdr:col>
      <xdr:colOff>2914650</xdr:colOff>
      <xdr:row>15</xdr:row>
      <xdr:rowOff>380999</xdr:rowOff>
    </xdr:to>
    <xdr:sp macro="" textlink="">
      <xdr:nvSpPr>
        <xdr:cNvPr id="32" name="Rectangle 31">
          <a:hlinkClick xmlns:r="http://schemas.openxmlformats.org/officeDocument/2006/relationships" r:id="rId2"/>
          <a:extLst>
            <a:ext uri="{FF2B5EF4-FFF2-40B4-BE49-F238E27FC236}">
              <a16:creationId xmlns:a16="http://schemas.microsoft.com/office/drawing/2014/main" id="{94C96DF7-11F2-4995-A732-A8FF116D09DD}"/>
            </a:ext>
          </a:extLst>
        </xdr:cNvPr>
        <xdr:cNvSpPr/>
      </xdr:nvSpPr>
      <xdr:spPr>
        <a:xfrm>
          <a:off x="9064625" y="666749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16</xdr:row>
      <xdr:rowOff>447675</xdr:rowOff>
    </xdr:from>
    <xdr:to>
      <xdr:col>9</xdr:col>
      <xdr:colOff>2828925</xdr:colOff>
      <xdr:row>16</xdr:row>
      <xdr:rowOff>600075</xdr:rowOff>
    </xdr:to>
    <xdr:sp macro="" textlink="">
      <xdr:nvSpPr>
        <xdr:cNvPr id="33" name="Rectangle 32">
          <a:hlinkClick xmlns:r="http://schemas.openxmlformats.org/officeDocument/2006/relationships" r:id="rId1"/>
          <a:extLst>
            <a:ext uri="{FF2B5EF4-FFF2-40B4-BE49-F238E27FC236}">
              <a16:creationId xmlns:a16="http://schemas.microsoft.com/office/drawing/2014/main" id="{BBED1C60-D966-4AF6-A852-D141073CF07E}"/>
            </a:ext>
          </a:extLst>
        </xdr:cNvPr>
        <xdr:cNvSpPr/>
      </xdr:nvSpPr>
      <xdr:spPr>
        <a:xfrm>
          <a:off x="9067800" y="7102475"/>
          <a:ext cx="28257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16</xdr:row>
      <xdr:rowOff>387351</xdr:rowOff>
    </xdr:from>
    <xdr:to>
      <xdr:col>9</xdr:col>
      <xdr:colOff>2901950</xdr:colOff>
      <xdr:row>16</xdr:row>
      <xdr:rowOff>723901</xdr:rowOff>
    </xdr:to>
    <xdr:sp macro="" textlink="">
      <xdr:nvSpPr>
        <xdr:cNvPr id="34" name="Rectangle 33">
          <a:hlinkClick xmlns:r="http://schemas.openxmlformats.org/officeDocument/2006/relationships" r:id="rId3"/>
          <a:extLst>
            <a:ext uri="{FF2B5EF4-FFF2-40B4-BE49-F238E27FC236}">
              <a16:creationId xmlns:a16="http://schemas.microsoft.com/office/drawing/2014/main" id="{FFDB8A2F-B869-41E2-843E-7CA3F945A39F}"/>
            </a:ext>
          </a:extLst>
        </xdr:cNvPr>
        <xdr:cNvSpPr/>
      </xdr:nvSpPr>
      <xdr:spPr>
        <a:xfrm>
          <a:off x="9074150" y="7048501"/>
          <a:ext cx="28987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16</xdr:row>
      <xdr:rowOff>12698</xdr:rowOff>
    </xdr:from>
    <xdr:to>
      <xdr:col>9</xdr:col>
      <xdr:colOff>2914650</xdr:colOff>
      <xdr:row>16</xdr:row>
      <xdr:rowOff>380999</xdr:rowOff>
    </xdr:to>
    <xdr:sp macro="" textlink="">
      <xdr:nvSpPr>
        <xdr:cNvPr id="35" name="Rectangle 34">
          <a:hlinkClick xmlns:r="http://schemas.openxmlformats.org/officeDocument/2006/relationships" r:id="rId2"/>
          <a:extLst>
            <a:ext uri="{FF2B5EF4-FFF2-40B4-BE49-F238E27FC236}">
              <a16:creationId xmlns:a16="http://schemas.microsoft.com/office/drawing/2014/main" id="{E1E2C090-0A33-4231-B014-76C2A225FACC}"/>
            </a:ext>
          </a:extLst>
        </xdr:cNvPr>
        <xdr:cNvSpPr/>
      </xdr:nvSpPr>
      <xdr:spPr>
        <a:xfrm>
          <a:off x="9064625" y="666749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16</xdr:row>
      <xdr:rowOff>387350</xdr:rowOff>
    </xdr:from>
    <xdr:to>
      <xdr:col>9</xdr:col>
      <xdr:colOff>2901950</xdr:colOff>
      <xdr:row>17</xdr:row>
      <xdr:rowOff>15875</xdr:rowOff>
    </xdr:to>
    <xdr:sp macro="" textlink="">
      <xdr:nvSpPr>
        <xdr:cNvPr id="36" name="Rectangle 35">
          <a:hlinkClick xmlns:r="http://schemas.openxmlformats.org/officeDocument/2006/relationships" r:id="rId3"/>
          <a:extLst>
            <a:ext uri="{FF2B5EF4-FFF2-40B4-BE49-F238E27FC236}">
              <a16:creationId xmlns:a16="http://schemas.microsoft.com/office/drawing/2014/main" id="{871C381B-BC54-4BCA-B382-EA9089E501AE}"/>
            </a:ext>
          </a:extLst>
        </xdr:cNvPr>
        <xdr:cNvSpPr/>
      </xdr:nvSpPr>
      <xdr:spPr>
        <a:xfrm>
          <a:off x="9074150" y="5762625"/>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16</xdr:row>
      <xdr:rowOff>387350</xdr:rowOff>
    </xdr:from>
    <xdr:to>
      <xdr:col>9</xdr:col>
      <xdr:colOff>2901950</xdr:colOff>
      <xdr:row>17</xdr:row>
      <xdr:rowOff>15875</xdr:rowOff>
    </xdr:to>
    <xdr:sp macro="" textlink="">
      <xdr:nvSpPr>
        <xdr:cNvPr id="37" name="Rectangle 36">
          <a:hlinkClick xmlns:r="http://schemas.openxmlformats.org/officeDocument/2006/relationships" r:id="rId3"/>
          <a:extLst>
            <a:ext uri="{FF2B5EF4-FFF2-40B4-BE49-F238E27FC236}">
              <a16:creationId xmlns:a16="http://schemas.microsoft.com/office/drawing/2014/main" id="{D8AF2104-6A3B-4E7F-A23E-70418DED00E7}"/>
            </a:ext>
          </a:extLst>
        </xdr:cNvPr>
        <xdr:cNvSpPr/>
      </xdr:nvSpPr>
      <xdr:spPr>
        <a:xfrm>
          <a:off x="9074150" y="5762625"/>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17</xdr:row>
      <xdr:rowOff>0</xdr:rowOff>
    </xdr:from>
    <xdr:to>
      <xdr:col>9</xdr:col>
      <xdr:colOff>2835275</xdr:colOff>
      <xdr:row>17</xdr:row>
      <xdr:rowOff>152400</xdr:rowOff>
    </xdr:to>
    <xdr:sp macro="" textlink="">
      <xdr:nvSpPr>
        <xdr:cNvPr id="38" name="Rectangle 37">
          <a:hlinkClick xmlns:r="http://schemas.openxmlformats.org/officeDocument/2006/relationships" r:id="rId1"/>
          <a:extLst>
            <a:ext uri="{FF2B5EF4-FFF2-40B4-BE49-F238E27FC236}">
              <a16:creationId xmlns:a16="http://schemas.microsoft.com/office/drawing/2014/main" id="{27C08704-6A6D-4240-B59B-63D4BB407A3E}"/>
            </a:ext>
          </a:extLst>
        </xdr:cNvPr>
        <xdr:cNvSpPr/>
      </xdr:nvSpPr>
      <xdr:spPr>
        <a:xfrm>
          <a:off x="9077325" y="8315325"/>
          <a:ext cx="28257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3174</xdr:colOff>
      <xdr:row>17</xdr:row>
      <xdr:rowOff>180974</xdr:rowOff>
    </xdr:from>
    <xdr:to>
      <xdr:col>9</xdr:col>
      <xdr:colOff>2813049</xdr:colOff>
      <xdr:row>17</xdr:row>
      <xdr:rowOff>533399</xdr:rowOff>
    </xdr:to>
    <xdr:sp macro="" textlink="">
      <xdr:nvSpPr>
        <xdr:cNvPr id="39" name="Rectangle 38">
          <a:hlinkClick xmlns:r="http://schemas.openxmlformats.org/officeDocument/2006/relationships" r:id="rId2"/>
          <a:extLst>
            <a:ext uri="{FF2B5EF4-FFF2-40B4-BE49-F238E27FC236}">
              <a16:creationId xmlns:a16="http://schemas.microsoft.com/office/drawing/2014/main" id="{CD4882F6-F6A2-4F15-AC7A-EBC2D69CC670}"/>
            </a:ext>
          </a:extLst>
        </xdr:cNvPr>
        <xdr:cNvSpPr/>
      </xdr:nvSpPr>
      <xdr:spPr>
        <a:xfrm>
          <a:off x="9070974" y="8496299"/>
          <a:ext cx="280987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28575</xdr:colOff>
      <xdr:row>17</xdr:row>
      <xdr:rowOff>752475</xdr:rowOff>
    </xdr:from>
    <xdr:to>
      <xdr:col>9</xdr:col>
      <xdr:colOff>2952750</xdr:colOff>
      <xdr:row>18</xdr:row>
      <xdr:rowOff>0</xdr:rowOff>
    </xdr:to>
    <xdr:sp macro="" textlink="">
      <xdr:nvSpPr>
        <xdr:cNvPr id="40" name="Rectangle 39">
          <a:hlinkClick xmlns:r="http://schemas.openxmlformats.org/officeDocument/2006/relationships" r:id="rId3"/>
          <a:extLst>
            <a:ext uri="{FF2B5EF4-FFF2-40B4-BE49-F238E27FC236}">
              <a16:creationId xmlns:a16="http://schemas.microsoft.com/office/drawing/2014/main" id="{18092493-D26D-438E-AEDE-A46A0880FBCA}"/>
            </a:ext>
          </a:extLst>
        </xdr:cNvPr>
        <xdr:cNvSpPr/>
      </xdr:nvSpPr>
      <xdr:spPr>
        <a:xfrm flipV="1">
          <a:off x="9093200" y="6654800"/>
          <a:ext cx="2927350" cy="3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18</xdr:row>
      <xdr:rowOff>12698</xdr:rowOff>
    </xdr:from>
    <xdr:to>
      <xdr:col>9</xdr:col>
      <xdr:colOff>2914650</xdr:colOff>
      <xdr:row>18</xdr:row>
      <xdr:rowOff>380999</xdr:rowOff>
    </xdr:to>
    <xdr:sp macro="" textlink="">
      <xdr:nvSpPr>
        <xdr:cNvPr id="41" name="Rectangle 40">
          <a:hlinkClick xmlns:r="http://schemas.openxmlformats.org/officeDocument/2006/relationships" r:id="rId2"/>
          <a:extLst>
            <a:ext uri="{FF2B5EF4-FFF2-40B4-BE49-F238E27FC236}">
              <a16:creationId xmlns:a16="http://schemas.microsoft.com/office/drawing/2014/main" id="{D1EBFE80-55C1-4B73-A037-17566E6E8A1F}"/>
            </a:ext>
          </a:extLst>
        </xdr:cNvPr>
        <xdr:cNvSpPr/>
      </xdr:nvSpPr>
      <xdr:spPr>
        <a:xfrm>
          <a:off x="9064625" y="666749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19</xdr:row>
      <xdr:rowOff>12698</xdr:rowOff>
    </xdr:from>
    <xdr:to>
      <xdr:col>9</xdr:col>
      <xdr:colOff>2914650</xdr:colOff>
      <xdr:row>19</xdr:row>
      <xdr:rowOff>380999</xdr:rowOff>
    </xdr:to>
    <xdr:sp macro="" textlink="">
      <xdr:nvSpPr>
        <xdr:cNvPr id="42" name="Rectangle 41">
          <a:hlinkClick xmlns:r="http://schemas.openxmlformats.org/officeDocument/2006/relationships" r:id="rId2"/>
          <a:extLst>
            <a:ext uri="{FF2B5EF4-FFF2-40B4-BE49-F238E27FC236}">
              <a16:creationId xmlns:a16="http://schemas.microsoft.com/office/drawing/2014/main" id="{D07F60AD-0D32-445C-9439-FD082A224CBA}"/>
            </a:ext>
          </a:extLst>
        </xdr:cNvPr>
        <xdr:cNvSpPr/>
      </xdr:nvSpPr>
      <xdr:spPr>
        <a:xfrm>
          <a:off x="9064625" y="721994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19</xdr:row>
      <xdr:rowOff>12698</xdr:rowOff>
    </xdr:from>
    <xdr:to>
      <xdr:col>9</xdr:col>
      <xdr:colOff>2914650</xdr:colOff>
      <xdr:row>19</xdr:row>
      <xdr:rowOff>380999</xdr:rowOff>
    </xdr:to>
    <xdr:sp macro="" textlink="">
      <xdr:nvSpPr>
        <xdr:cNvPr id="43" name="Rectangle 42">
          <a:hlinkClick xmlns:r="http://schemas.openxmlformats.org/officeDocument/2006/relationships" r:id="rId2"/>
          <a:extLst>
            <a:ext uri="{FF2B5EF4-FFF2-40B4-BE49-F238E27FC236}">
              <a16:creationId xmlns:a16="http://schemas.microsoft.com/office/drawing/2014/main" id="{C8C8C4F0-1DDD-459E-965A-339060F48C4D}"/>
            </a:ext>
          </a:extLst>
        </xdr:cNvPr>
        <xdr:cNvSpPr/>
      </xdr:nvSpPr>
      <xdr:spPr>
        <a:xfrm>
          <a:off x="9064625" y="9029698"/>
          <a:ext cx="2917825" cy="171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19</xdr:row>
      <xdr:rowOff>12698</xdr:rowOff>
    </xdr:from>
    <xdr:to>
      <xdr:col>9</xdr:col>
      <xdr:colOff>2914650</xdr:colOff>
      <xdr:row>19</xdr:row>
      <xdr:rowOff>380999</xdr:rowOff>
    </xdr:to>
    <xdr:sp macro="" textlink="">
      <xdr:nvSpPr>
        <xdr:cNvPr id="44" name="Rectangle 43">
          <a:hlinkClick xmlns:r="http://schemas.openxmlformats.org/officeDocument/2006/relationships" r:id="rId2"/>
          <a:extLst>
            <a:ext uri="{FF2B5EF4-FFF2-40B4-BE49-F238E27FC236}">
              <a16:creationId xmlns:a16="http://schemas.microsoft.com/office/drawing/2014/main" id="{59ED4561-7961-4BB7-8AC1-87B5EDED24E9}"/>
            </a:ext>
          </a:extLst>
        </xdr:cNvPr>
        <xdr:cNvSpPr/>
      </xdr:nvSpPr>
      <xdr:spPr>
        <a:xfrm>
          <a:off x="9064625" y="902969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6350</xdr:colOff>
      <xdr:row>17</xdr:row>
      <xdr:rowOff>552450</xdr:rowOff>
    </xdr:from>
    <xdr:to>
      <xdr:col>9</xdr:col>
      <xdr:colOff>2905125</xdr:colOff>
      <xdr:row>18</xdr:row>
      <xdr:rowOff>1</xdr:rowOff>
    </xdr:to>
    <xdr:sp macro="" textlink="">
      <xdr:nvSpPr>
        <xdr:cNvPr id="45" name="Rectangle 44">
          <a:hlinkClick xmlns:r="http://schemas.openxmlformats.org/officeDocument/2006/relationships" r:id="rId3"/>
          <a:extLst>
            <a:ext uri="{FF2B5EF4-FFF2-40B4-BE49-F238E27FC236}">
              <a16:creationId xmlns:a16="http://schemas.microsoft.com/office/drawing/2014/main" id="{8B67D22E-A795-48B4-B368-D71812D2C64C}"/>
            </a:ext>
          </a:extLst>
        </xdr:cNvPr>
        <xdr:cNvSpPr/>
      </xdr:nvSpPr>
      <xdr:spPr>
        <a:xfrm>
          <a:off x="9074150" y="8867775"/>
          <a:ext cx="2898775" cy="1524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18</xdr:row>
      <xdr:rowOff>447675</xdr:rowOff>
    </xdr:from>
    <xdr:to>
      <xdr:col>9</xdr:col>
      <xdr:colOff>2828925</xdr:colOff>
      <xdr:row>18</xdr:row>
      <xdr:rowOff>600075</xdr:rowOff>
    </xdr:to>
    <xdr:sp macro="" textlink="">
      <xdr:nvSpPr>
        <xdr:cNvPr id="46" name="Rectangle 45">
          <a:hlinkClick xmlns:r="http://schemas.openxmlformats.org/officeDocument/2006/relationships" r:id="rId1"/>
          <a:extLst>
            <a:ext uri="{FF2B5EF4-FFF2-40B4-BE49-F238E27FC236}">
              <a16:creationId xmlns:a16="http://schemas.microsoft.com/office/drawing/2014/main" id="{CF6CFF86-DA1E-4080-80BB-38A7AD26ABF7}"/>
            </a:ext>
          </a:extLst>
        </xdr:cNvPr>
        <xdr:cNvSpPr/>
      </xdr:nvSpPr>
      <xdr:spPr>
        <a:xfrm>
          <a:off x="9067800" y="7654925"/>
          <a:ext cx="28257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18</xdr:row>
      <xdr:rowOff>387351</xdr:rowOff>
    </xdr:from>
    <xdr:to>
      <xdr:col>9</xdr:col>
      <xdr:colOff>2901950</xdr:colOff>
      <xdr:row>18</xdr:row>
      <xdr:rowOff>723901</xdr:rowOff>
    </xdr:to>
    <xdr:sp macro="" textlink="">
      <xdr:nvSpPr>
        <xdr:cNvPr id="47" name="Rectangle 46">
          <a:hlinkClick xmlns:r="http://schemas.openxmlformats.org/officeDocument/2006/relationships" r:id="rId3"/>
          <a:extLst>
            <a:ext uri="{FF2B5EF4-FFF2-40B4-BE49-F238E27FC236}">
              <a16:creationId xmlns:a16="http://schemas.microsoft.com/office/drawing/2014/main" id="{9E07399D-0E04-48C2-A20D-DB938B5F540A}"/>
            </a:ext>
          </a:extLst>
        </xdr:cNvPr>
        <xdr:cNvSpPr/>
      </xdr:nvSpPr>
      <xdr:spPr>
        <a:xfrm>
          <a:off x="9074150" y="7600951"/>
          <a:ext cx="28987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18</xdr:row>
      <xdr:rowOff>12698</xdr:rowOff>
    </xdr:from>
    <xdr:to>
      <xdr:col>9</xdr:col>
      <xdr:colOff>2914650</xdr:colOff>
      <xdr:row>18</xdr:row>
      <xdr:rowOff>380999</xdr:rowOff>
    </xdr:to>
    <xdr:sp macro="" textlink="">
      <xdr:nvSpPr>
        <xdr:cNvPr id="48" name="Rectangle 47">
          <a:hlinkClick xmlns:r="http://schemas.openxmlformats.org/officeDocument/2006/relationships" r:id="rId2"/>
          <a:extLst>
            <a:ext uri="{FF2B5EF4-FFF2-40B4-BE49-F238E27FC236}">
              <a16:creationId xmlns:a16="http://schemas.microsoft.com/office/drawing/2014/main" id="{F0A9ED24-6A78-4A3F-8FDB-81626B1FA553}"/>
            </a:ext>
          </a:extLst>
        </xdr:cNvPr>
        <xdr:cNvSpPr/>
      </xdr:nvSpPr>
      <xdr:spPr>
        <a:xfrm>
          <a:off x="9064625" y="721994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19</xdr:row>
      <xdr:rowOff>447675</xdr:rowOff>
    </xdr:from>
    <xdr:to>
      <xdr:col>9</xdr:col>
      <xdr:colOff>2828925</xdr:colOff>
      <xdr:row>19</xdr:row>
      <xdr:rowOff>600075</xdr:rowOff>
    </xdr:to>
    <xdr:sp macro="" textlink="">
      <xdr:nvSpPr>
        <xdr:cNvPr id="49" name="Rectangle 48">
          <a:hlinkClick xmlns:r="http://schemas.openxmlformats.org/officeDocument/2006/relationships" r:id="rId1"/>
          <a:extLst>
            <a:ext uri="{FF2B5EF4-FFF2-40B4-BE49-F238E27FC236}">
              <a16:creationId xmlns:a16="http://schemas.microsoft.com/office/drawing/2014/main" id="{4B13A191-4DF2-4EA5-8BD2-72394A4595A6}"/>
            </a:ext>
          </a:extLst>
        </xdr:cNvPr>
        <xdr:cNvSpPr/>
      </xdr:nvSpPr>
      <xdr:spPr>
        <a:xfrm>
          <a:off x="9067800" y="8207375"/>
          <a:ext cx="28257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19</xdr:row>
      <xdr:rowOff>387351</xdr:rowOff>
    </xdr:from>
    <xdr:to>
      <xdr:col>9</xdr:col>
      <xdr:colOff>2901950</xdr:colOff>
      <xdr:row>19</xdr:row>
      <xdr:rowOff>723901</xdr:rowOff>
    </xdr:to>
    <xdr:sp macro="" textlink="">
      <xdr:nvSpPr>
        <xdr:cNvPr id="50" name="Rectangle 49">
          <a:hlinkClick xmlns:r="http://schemas.openxmlformats.org/officeDocument/2006/relationships" r:id="rId3"/>
          <a:extLst>
            <a:ext uri="{FF2B5EF4-FFF2-40B4-BE49-F238E27FC236}">
              <a16:creationId xmlns:a16="http://schemas.microsoft.com/office/drawing/2014/main" id="{BCC8AB83-3E62-4E05-AC24-02A8E205EDEC}"/>
            </a:ext>
          </a:extLst>
        </xdr:cNvPr>
        <xdr:cNvSpPr/>
      </xdr:nvSpPr>
      <xdr:spPr>
        <a:xfrm>
          <a:off x="9074150" y="8153401"/>
          <a:ext cx="28987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19</xdr:row>
      <xdr:rowOff>12698</xdr:rowOff>
    </xdr:from>
    <xdr:to>
      <xdr:col>9</xdr:col>
      <xdr:colOff>2914650</xdr:colOff>
      <xdr:row>19</xdr:row>
      <xdr:rowOff>380999</xdr:rowOff>
    </xdr:to>
    <xdr:sp macro="" textlink="">
      <xdr:nvSpPr>
        <xdr:cNvPr id="51" name="Rectangle 50">
          <a:hlinkClick xmlns:r="http://schemas.openxmlformats.org/officeDocument/2006/relationships" r:id="rId2"/>
          <a:extLst>
            <a:ext uri="{FF2B5EF4-FFF2-40B4-BE49-F238E27FC236}">
              <a16:creationId xmlns:a16="http://schemas.microsoft.com/office/drawing/2014/main" id="{7815E2CF-C4B8-45F0-BAFF-E17A464C0FCC}"/>
            </a:ext>
          </a:extLst>
        </xdr:cNvPr>
        <xdr:cNvSpPr/>
      </xdr:nvSpPr>
      <xdr:spPr>
        <a:xfrm>
          <a:off x="9064625" y="777239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19</xdr:row>
      <xdr:rowOff>387350</xdr:rowOff>
    </xdr:from>
    <xdr:to>
      <xdr:col>9</xdr:col>
      <xdr:colOff>2901950</xdr:colOff>
      <xdr:row>20</xdr:row>
      <xdr:rowOff>15875</xdr:rowOff>
    </xdr:to>
    <xdr:sp macro="" textlink="">
      <xdr:nvSpPr>
        <xdr:cNvPr id="52" name="Rectangle 51">
          <a:hlinkClick xmlns:r="http://schemas.openxmlformats.org/officeDocument/2006/relationships" r:id="rId3"/>
          <a:extLst>
            <a:ext uri="{FF2B5EF4-FFF2-40B4-BE49-F238E27FC236}">
              <a16:creationId xmlns:a16="http://schemas.microsoft.com/office/drawing/2014/main" id="{C108D289-23E7-4FEF-9F4F-42FE223DE5EE}"/>
            </a:ext>
          </a:extLst>
        </xdr:cNvPr>
        <xdr:cNvSpPr/>
      </xdr:nvSpPr>
      <xdr:spPr>
        <a:xfrm>
          <a:off x="9074150" y="8153400"/>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19</xdr:row>
      <xdr:rowOff>387350</xdr:rowOff>
    </xdr:from>
    <xdr:to>
      <xdr:col>9</xdr:col>
      <xdr:colOff>2901950</xdr:colOff>
      <xdr:row>20</xdr:row>
      <xdr:rowOff>15875</xdr:rowOff>
    </xdr:to>
    <xdr:sp macro="" textlink="">
      <xdr:nvSpPr>
        <xdr:cNvPr id="53" name="Rectangle 52">
          <a:hlinkClick xmlns:r="http://schemas.openxmlformats.org/officeDocument/2006/relationships" r:id="rId3"/>
          <a:extLst>
            <a:ext uri="{FF2B5EF4-FFF2-40B4-BE49-F238E27FC236}">
              <a16:creationId xmlns:a16="http://schemas.microsoft.com/office/drawing/2014/main" id="{004ED8BB-BFC4-4AD6-9AD7-503E14FC39C4}"/>
            </a:ext>
          </a:extLst>
        </xdr:cNvPr>
        <xdr:cNvSpPr/>
      </xdr:nvSpPr>
      <xdr:spPr>
        <a:xfrm>
          <a:off x="9074150" y="8153400"/>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19</xdr:row>
      <xdr:rowOff>387351</xdr:rowOff>
    </xdr:from>
    <xdr:to>
      <xdr:col>9</xdr:col>
      <xdr:colOff>2901950</xdr:colOff>
      <xdr:row>19</xdr:row>
      <xdr:rowOff>723901</xdr:rowOff>
    </xdr:to>
    <xdr:sp macro="" textlink="">
      <xdr:nvSpPr>
        <xdr:cNvPr id="54" name="Rectangle 53">
          <a:hlinkClick xmlns:r="http://schemas.openxmlformats.org/officeDocument/2006/relationships" r:id="rId3"/>
          <a:extLst>
            <a:ext uri="{FF2B5EF4-FFF2-40B4-BE49-F238E27FC236}">
              <a16:creationId xmlns:a16="http://schemas.microsoft.com/office/drawing/2014/main" id="{9C380977-91BF-4636-A0A6-600906793EA8}"/>
            </a:ext>
          </a:extLst>
        </xdr:cNvPr>
        <xdr:cNvSpPr/>
      </xdr:nvSpPr>
      <xdr:spPr>
        <a:xfrm>
          <a:off x="9074150" y="8153401"/>
          <a:ext cx="28987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19</xdr:row>
      <xdr:rowOff>387350</xdr:rowOff>
    </xdr:from>
    <xdr:to>
      <xdr:col>9</xdr:col>
      <xdr:colOff>2901950</xdr:colOff>
      <xdr:row>20</xdr:row>
      <xdr:rowOff>15875</xdr:rowOff>
    </xdr:to>
    <xdr:sp macro="" textlink="">
      <xdr:nvSpPr>
        <xdr:cNvPr id="55" name="Rectangle 54">
          <a:hlinkClick xmlns:r="http://schemas.openxmlformats.org/officeDocument/2006/relationships" r:id="rId3"/>
          <a:extLst>
            <a:ext uri="{FF2B5EF4-FFF2-40B4-BE49-F238E27FC236}">
              <a16:creationId xmlns:a16="http://schemas.microsoft.com/office/drawing/2014/main" id="{DDEF369B-664E-4FE7-8207-FC8E4E38337E}"/>
            </a:ext>
          </a:extLst>
        </xdr:cNvPr>
        <xdr:cNvSpPr/>
      </xdr:nvSpPr>
      <xdr:spPr>
        <a:xfrm>
          <a:off x="9074150" y="8153400"/>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19</xdr:row>
      <xdr:rowOff>387350</xdr:rowOff>
    </xdr:from>
    <xdr:to>
      <xdr:col>9</xdr:col>
      <xdr:colOff>2901950</xdr:colOff>
      <xdr:row>20</xdr:row>
      <xdr:rowOff>15875</xdr:rowOff>
    </xdr:to>
    <xdr:sp macro="" textlink="">
      <xdr:nvSpPr>
        <xdr:cNvPr id="56" name="Rectangle 55">
          <a:hlinkClick xmlns:r="http://schemas.openxmlformats.org/officeDocument/2006/relationships" r:id="rId3"/>
          <a:extLst>
            <a:ext uri="{FF2B5EF4-FFF2-40B4-BE49-F238E27FC236}">
              <a16:creationId xmlns:a16="http://schemas.microsoft.com/office/drawing/2014/main" id="{1F5AD171-FC03-4538-8D1D-8CC4EC2A3EDC}"/>
            </a:ext>
          </a:extLst>
        </xdr:cNvPr>
        <xdr:cNvSpPr/>
      </xdr:nvSpPr>
      <xdr:spPr>
        <a:xfrm>
          <a:off x="9074150" y="8153400"/>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20</xdr:row>
      <xdr:rowOff>234950</xdr:rowOff>
    </xdr:from>
    <xdr:to>
      <xdr:col>9</xdr:col>
      <xdr:colOff>2828925</xdr:colOff>
      <xdr:row>20</xdr:row>
      <xdr:rowOff>387350</xdr:rowOff>
    </xdr:to>
    <xdr:sp macro="" textlink="">
      <xdr:nvSpPr>
        <xdr:cNvPr id="57" name="Rectangle 56">
          <a:hlinkClick xmlns:r="http://schemas.openxmlformats.org/officeDocument/2006/relationships" r:id="rId1"/>
          <a:extLst>
            <a:ext uri="{FF2B5EF4-FFF2-40B4-BE49-F238E27FC236}">
              <a16:creationId xmlns:a16="http://schemas.microsoft.com/office/drawing/2014/main" id="{3DBDA7A7-47FA-49F9-836F-93A5F56205FD}"/>
            </a:ext>
          </a:extLst>
        </xdr:cNvPr>
        <xdr:cNvSpPr/>
      </xdr:nvSpPr>
      <xdr:spPr>
        <a:xfrm>
          <a:off x="9067800" y="8553450"/>
          <a:ext cx="28257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3174</xdr:colOff>
      <xdr:row>20</xdr:row>
      <xdr:rowOff>415925</xdr:rowOff>
    </xdr:from>
    <xdr:to>
      <xdr:col>9</xdr:col>
      <xdr:colOff>2813049</xdr:colOff>
      <xdr:row>20</xdr:row>
      <xdr:rowOff>714375</xdr:rowOff>
    </xdr:to>
    <xdr:sp macro="" textlink="">
      <xdr:nvSpPr>
        <xdr:cNvPr id="58" name="Rectangle 57">
          <a:hlinkClick xmlns:r="http://schemas.openxmlformats.org/officeDocument/2006/relationships" r:id="rId2"/>
          <a:extLst>
            <a:ext uri="{FF2B5EF4-FFF2-40B4-BE49-F238E27FC236}">
              <a16:creationId xmlns:a16="http://schemas.microsoft.com/office/drawing/2014/main" id="{ABBFC02B-1AEA-48B8-8406-747AC1835409}"/>
            </a:ext>
          </a:extLst>
        </xdr:cNvPr>
        <xdr:cNvSpPr/>
      </xdr:nvSpPr>
      <xdr:spPr>
        <a:xfrm>
          <a:off x="9070974" y="8731250"/>
          <a:ext cx="28067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28575</xdr:colOff>
      <xdr:row>20</xdr:row>
      <xdr:rowOff>752475</xdr:rowOff>
    </xdr:from>
    <xdr:to>
      <xdr:col>9</xdr:col>
      <xdr:colOff>2952750</xdr:colOff>
      <xdr:row>21</xdr:row>
      <xdr:rowOff>0</xdr:rowOff>
    </xdr:to>
    <xdr:sp macro="" textlink="">
      <xdr:nvSpPr>
        <xdr:cNvPr id="59" name="Rectangle 58">
          <a:hlinkClick xmlns:r="http://schemas.openxmlformats.org/officeDocument/2006/relationships" r:id="rId3"/>
          <a:extLst>
            <a:ext uri="{FF2B5EF4-FFF2-40B4-BE49-F238E27FC236}">
              <a16:creationId xmlns:a16="http://schemas.microsoft.com/office/drawing/2014/main" id="{C2C63013-C7FC-4AA0-802B-353202B6BC8B}"/>
            </a:ext>
          </a:extLst>
        </xdr:cNvPr>
        <xdr:cNvSpPr/>
      </xdr:nvSpPr>
      <xdr:spPr>
        <a:xfrm flipV="1">
          <a:off x="9093200" y="9017000"/>
          <a:ext cx="2927350" cy="3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20</xdr:row>
      <xdr:rowOff>387351</xdr:rowOff>
    </xdr:from>
    <xdr:to>
      <xdr:col>9</xdr:col>
      <xdr:colOff>2901950</xdr:colOff>
      <xdr:row>20</xdr:row>
      <xdr:rowOff>723901</xdr:rowOff>
    </xdr:to>
    <xdr:sp macro="" textlink="">
      <xdr:nvSpPr>
        <xdr:cNvPr id="60" name="Rectangle 59">
          <a:hlinkClick xmlns:r="http://schemas.openxmlformats.org/officeDocument/2006/relationships" r:id="rId3"/>
          <a:extLst>
            <a:ext uri="{FF2B5EF4-FFF2-40B4-BE49-F238E27FC236}">
              <a16:creationId xmlns:a16="http://schemas.microsoft.com/office/drawing/2014/main" id="{50F505EE-3F23-4FDE-A49D-1D39C831F3DF}"/>
            </a:ext>
          </a:extLst>
        </xdr:cNvPr>
        <xdr:cNvSpPr/>
      </xdr:nvSpPr>
      <xdr:spPr>
        <a:xfrm>
          <a:off x="9074150" y="8705851"/>
          <a:ext cx="28987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21</xdr:row>
      <xdr:rowOff>12698</xdr:rowOff>
    </xdr:from>
    <xdr:to>
      <xdr:col>9</xdr:col>
      <xdr:colOff>2914650</xdr:colOff>
      <xdr:row>21</xdr:row>
      <xdr:rowOff>380999</xdr:rowOff>
    </xdr:to>
    <xdr:sp macro="" textlink="">
      <xdr:nvSpPr>
        <xdr:cNvPr id="61" name="Rectangle 60">
          <a:hlinkClick xmlns:r="http://schemas.openxmlformats.org/officeDocument/2006/relationships" r:id="rId2"/>
          <a:extLst>
            <a:ext uri="{FF2B5EF4-FFF2-40B4-BE49-F238E27FC236}">
              <a16:creationId xmlns:a16="http://schemas.microsoft.com/office/drawing/2014/main" id="{BBB859BC-4B3F-4D70-BA4D-50B04536FFA6}"/>
            </a:ext>
          </a:extLst>
        </xdr:cNvPr>
        <xdr:cNvSpPr/>
      </xdr:nvSpPr>
      <xdr:spPr>
        <a:xfrm>
          <a:off x="9064625" y="902969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22</xdr:row>
      <xdr:rowOff>12698</xdr:rowOff>
    </xdr:from>
    <xdr:to>
      <xdr:col>9</xdr:col>
      <xdr:colOff>2914650</xdr:colOff>
      <xdr:row>22</xdr:row>
      <xdr:rowOff>380999</xdr:rowOff>
    </xdr:to>
    <xdr:sp macro="" textlink="">
      <xdr:nvSpPr>
        <xdr:cNvPr id="62" name="Rectangle 61">
          <a:hlinkClick xmlns:r="http://schemas.openxmlformats.org/officeDocument/2006/relationships" r:id="rId2"/>
          <a:extLst>
            <a:ext uri="{FF2B5EF4-FFF2-40B4-BE49-F238E27FC236}">
              <a16:creationId xmlns:a16="http://schemas.microsoft.com/office/drawing/2014/main" id="{855F21FC-EF8A-4F6C-A6C0-4927B4756C57}"/>
            </a:ext>
          </a:extLst>
        </xdr:cNvPr>
        <xdr:cNvSpPr/>
      </xdr:nvSpPr>
      <xdr:spPr>
        <a:xfrm>
          <a:off x="9064625" y="9744073"/>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22</xdr:row>
      <xdr:rowOff>12698</xdr:rowOff>
    </xdr:from>
    <xdr:to>
      <xdr:col>9</xdr:col>
      <xdr:colOff>2914650</xdr:colOff>
      <xdr:row>22</xdr:row>
      <xdr:rowOff>380999</xdr:rowOff>
    </xdr:to>
    <xdr:sp macro="" textlink="">
      <xdr:nvSpPr>
        <xdr:cNvPr id="63" name="Rectangle 62">
          <a:hlinkClick xmlns:r="http://schemas.openxmlformats.org/officeDocument/2006/relationships" r:id="rId2"/>
          <a:extLst>
            <a:ext uri="{FF2B5EF4-FFF2-40B4-BE49-F238E27FC236}">
              <a16:creationId xmlns:a16="http://schemas.microsoft.com/office/drawing/2014/main" id="{6BDE19F1-6E34-4FF5-B1CD-8892E786446F}"/>
            </a:ext>
          </a:extLst>
        </xdr:cNvPr>
        <xdr:cNvSpPr/>
      </xdr:nvSpPr>
      <xdr:spPr>
        <a:xfrm>
          <a:off x="9064625" y="9744073"/>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22</xdr:row>
      <xdr:rowOff>12698</xdr:rowOff>
    </xdr:from>
    <xdr:to>
      <xdr:col>9</xdr:col>
      <xdr:colOff>2914650</xdr:colOff>
      <xdr:row>22</xdr:row>
      <xdr:rowOff>380999</xdr:rowOff>
    </xdr:to>
    <xdr:sp macro="" textlink="">
      <xdr:nvSpPr>
        <xdr:cNvPr id="64" name="Rectangle 63">
          <a:hlinkClick xmlns:r="http://schemas.openxmlformats.org/officeDocument/2006/relationships" r:id="rId2"/>
          <a:extLst>
            <a:ext uri="{FF2B5EF4-FFF2-40B4-BE49-F238E27FC236}">
              <a16:creationId xmlns:a16="http://schemas.microsoft.com/office/drawing/2014/main" id="{8C6F7EDB-AC6F-44E6-B903-FA20C11A87A2}"/>
            </a:ext>
          </a:extLst>
        </xdr:cNvPr>
        <xdr:cNvSpPr/>
      </xdr:nvSpPr>
      <xdr:spPr>
        <a:xfrm>
          <a:off x="9064625" y="9744073"/>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20</xdr:row>
      <xdr:rowOff>387351</xdr:rowOff>
    </xdr:from>
    <xdr:to>
      <xdr:col>9</xdr:col>
      <xdr:colOff>2901950</xdr:colOff>
      <xdr:row>20</xdr:row>
      <xdr:rowOff>723901</xdr:rowOff>
    </xdr:to>
    <xdr:sp macro="" textlink="">
      <xdr:nvSpPr>
        <xdr:cNvPr id="65" name="Rectangle 64">
          <a:hlinkClick xmlns:r="http://schemas.openxmlformats.org/officeDocument/2006/relationships" r:id="rId3"/>
          <a:extLst>
            <a:ext uri="{FF2B5EF4-FFF2-40B4-BE49-F238E27FC236}">
              <a16:creationId xmlns:a16="http://schemas.microsoft.com/office/drawing/2014/main" id="{2D099B39-44F8-4340-8C08-23314C76FF6E}"/>
            </a:ext>
          </a:extLst>
        </xdr:cNvPr>
        <xdr:cNvSpPr/>
      </xdr:nvSpPr>
      <xdr:spPr>
        <a:xfrm>
          <a:off x="9074150" y="8705851"/>
          <a:ext cx="2898775"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21</xdr:row>
      <xdr:rowOff>447675</xdr:rowOff>
    </xdr:from>
    <xdr:to>
      <xdr:col>9</xdr:col>
      <xdr:colOff>2828925</xdr:colOff>
      <xdr:row>21</xdr:row>
      <xdr:rowOff>600075</xdr:rowOff>
    </xdr:to>
    <xdr:sp macro="" textlink="">
      <xdr:nvSpPr>
        <xdr:cNvPr id="66" name="Rectangle 65">
          <a:hlinkClick xmlns:r="http://schemas.openxmlformats.org/officeDocument/2006/relationships" r:id="rId1"/>
          <a:extLst>
            <a:ext uri="{FF2B5EF4-FFF2-40B4-BE49-F238E27FC236}">
              <a16:creationId xmlns:a16="http://schemas.microsoft.com/office/drawing/2014/main" id="{E31405ED-C63A-4B82-BAC9-9842C3D707E3}"/>
            </a:ext>
          </a:extLst>
        </xdr:cNvPr>
        <xdr:cNvSpPr/>
      </xdr:nvSpPr>
      <xdr:spPr>
        <a:xfrm>
          <a:off x="9067800" y="9464675"/>
          <a:ext cx="28257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21</xdr:row>
      <xdr:rowOff>387351</xdr:rowOff>
    </xdr:from>
    <xdr:to>
      <xdr:col>9</xdr:col>
      <xdr:colOff>2901950</xdr:colOff>
      <xdr:row>21</xdr:row>
      <xdr:rowOff>723901</xdr:rowOff>
    </xdr:to>
    <xdr:sp macro="" textlink="">
      <xdr:nvSpPr>
        <xdr:cNvPr id="67" name="Rectangle 66">
          <a:hlinkClick xmlns:r="http://schemas.openxmlformats.org/officeDocument/2006/relationships" r:id="rId3"/>
          <a:extLst>
            <a:ext uri="{FF2B5EF4-FFF2-40B4-BE49-F238E27FC236}">
              <a16:creationId xmlns:a16="http://schemas.microsoft.com/office/drawing/2014/main" id="{E610C22D-286E-4B8A-80E6-947E5452E7DD}"/>
            </a:ext>
          </a:extLst>
        </xdr:cNvPr>
        <xdr:cNvSpPr/>
      </xdr:nvSpPr>
      <xdr:spPr>
        <a:xfrm>
          <a:off x="9074150" y="9410701"/>
          <a:ext cx="28987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21</xdr:row>
      <xdr:rowOff>12698</xdr:rowOff>
    </xdr:from>
    <xdr:to>
      <xdr:col>9</xdr:col>
      <xdr:colOff>2914650</xdr:colOff>
      <xdr:row>21</xdr:row>
      <xdr:rowOff>380999</xdr:rowOff>
    </xdr:to>
    <xdr:sp macro="" textlink="">
      <xdr:nvSpPr>
        <xdr:cNvPr id="68" name="Rectangle 67">
          <a:hlinkClick xmlns:r="http://schemas.openxmlformats.org/officeDocument/2006/relationships" r:id="rId2"/>
          <a:extLst>
            <a:ext uri="{FF2B5EF4-FFF2-40B4-BE49-F238E27FC236}">
              <a16:creationId xmlns:a16="http://schemas.microsoft.com/office/drawing/2014/main" id="{5FF37AC9-82B8-486A-98E3-C452562FFB9C}"/>
            </a:ext>
          </a:extLst>
        </xdr:cNvPr>
        <xdr:cNvSpPr/>
      </xdr:nvSpPr>
      <xdr:spPr>
        <a:xfrm>
          <a:off x="9064625" y="902969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22</xdr:row>
      <xdr:rowOff>447675</xdr:rowOff>
    </xdr:from>
    <xdr:to>
      <xdr:col>9</xdr:col>
      <xdr:colOff>2828925</xdr:colOff>
      <xdr:row>22</xdr:row>
      <xdr:rowOff>600075</xdr:rowOff>
    </xdr:to>
    <xdr:sp macro="" textlink="">
      <xdr:nvSpPr>
        <xdr:cNvPr id="69" name="Rectangle 68">
          <a:hlinkClick xmlns:r="http://schemas.openxmlformats.org/officeDocument/2006/relationships" r:id="rId1"/>
          <a:extLst>
            <a:ext uri="{FF2B5EF4-FFF2-40B4-BE49-F238E27FC236}">
              <a16:creationId xmlns:a16="http://schemas.microsoft.com/office/drawing/2014/main" id="{48FA40D7-3914-4468-ABF7-8A4E0BA5F1CA}"/>
            </a:ext>
          </a:extLst>
        </xdr:cNvPr>
        <xdr:cNvSpPr/>
      </xdr:nvSpPr>
      <xdr:spPr>
        <a:xfrm>
          <a:off x="9067800" y="10179050"/>
          <a:ext cx="28257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22</xdr:row>
      <xdr:rowOff>387351</xdr:rowOff>
    </xdr:from>
    <xdr:to>
      <xdr:col>9</xdr:col>
      <xdr:colOff>2901950</xdr:colOff>
      <xdr:row>22</xdr:row>
      <xdr:rowOff>723901</xdr:rowOff>
    </xdr:to>
    <xdr:sp macro="" textlink="">
      <xdr:nvSpPr>
        <xdr:cNvPr id="70" name="Rectangle 69">
          <a:hlinkClick xmlns:r="http://schemas.openxmlformats.org/officeDocument/2006/relationships" r:id="rId3"/>
          <a:extLst>
            <a:ext uri="{FF2B5EF4-FFF2-40B4-BE49-F238E27FC236}">
              <a16:creationId xmlns:a16="http://schemas.microsoft.com/office/drawing/2014/main" id="{D3A07F37-5F93-48F2-94F6-D9347E280917}"/>
            </a:ext>
          </a:extLst>
        </xdr:cNvPr>
        <xdr:cNvSpPr/>
      </xdr:nvSpPr>
      <xdr:spPr>
        <a:xfrm>
          <a:off x="9074150" y="10125076"/>
          <a:ext cx="2898775"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22</xdr:row>
      <xdr:rowOff>12698</xdr:rowOff>
    </xdr:from>
    <xdr:to>
      <xdr:col>9</xdr:col>
      <xdr:colOff>2914650</xdr:colOff>
      <xdr:row>22</xdr:row>
      <xdr:rowOff>380999</xdr:rowOff>
    </xdr:to>
    <xdr:sp macro="" textlink="">
      <xdr:nvSpPr>
        <xdr:cNvPr id="71" name="Rectangle 70">
          <a:hlinkClick xmlns:r="http://schemas.openxmlformats.org/officeDocument/2006/relationships" r:id="rId2"/>
          <a:extLst>
            <a:ext uri="{FF2B5EF4-FFF2-40B4-BE49-F238E27FC236}">
              <a16:creationId xmlns:a16="http://schemas.microsoft.com/office/drawing/2014/main" id="{D6E1855A-949E-4860-933F-401AE620753A}"/>
            </a:ext>
          </a:extLst>
        </xdr:cNvPr>
        <xdr:cNvSpPr/>
      </xdr:nvSpPr>
      <xdr:spPr>
        <a:xfrm>
          <a:off x="9064625" y="9744073"/>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22</xdr:row>
      <xdr:rowOff>387350</xdr:rowOff>
    </xdr:from>
    <xdr:to>
      <xdr:col>9</xdr:col>
      <xdr:colOff>2901950</xdr:colOff>
      <xdr:row>23</xdr:row>
      <xdr:rowOff>15875</xdr:rowOff>
    </xdr:to>
    <xdr:sp macro="" textlink="">
      <xdr:nvSpPr>
        <xdr:cNvPr id="72" name="Rectangle 71">
          <a:hlinkClick xmlns:r="http://schemas.openxmlformats.org/officeDocument/2006/relationships" r:id="rId3"/>
          <a:extLst>
            <a:ext uri="{FF2B5EF4-FFF2-40B4-BE49-F238E27FC236}">
              <a16:creationId xmlns:a16="http://schemas.microsoft.com/office/drawing/2014/main" id="{E382EA9E-D8C3-43E4-8E1C-EF1AD1CE8502}"/>
            </a:ext>
          </a:extLst>
        </xdr:cNvPr>
        <xdr:cNvSpPr/>
      </xdr:nvSpPr>
      <xdr:spPr>
        <a:xfrm>
          <a:off x="9074150" y="10125075"/>
          <a:ext cx="2898775"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22</xdr:row>
      <xdr:rowOff>387350</xdr:rowOff>
    </xdr:from>
    <xdr:to>
      <xdr:col>9</xdr:col>
      <xdr:colOff>2901950</xdr:colOff>
      <xdr:row>23</xdr:row>
      <xdr:rowOff>15875</xdr:rowOff>
    </xdr:to>
    <xdr:sp macro="" textlink="">
      <xdr:nvSpPr>
        <xdr:cNvPr id="73" name="Rectangle 72">
          <a:hlinkClick xmlns:r="http://schemas.openxmlformats.org/officeDocument/2006/relationships" r:id="rId3"/>
          <a:extLst>
            <a:ext uri="{FF2B5EF4-FFF2-40B4-BE49-F238E27FC236}">
              <a16:creationId xmlns:a16="http://schemas.microsoft.com/office/drawing/2014/main" id="{CE728137-AB95-433A-854E-275559B36520}"/>
            </a:ext>
          </a:extLst>
        </xdr:cNvPr>
        <xdr:cNvSpPr/>
      </xdr:nvSpPr>
      <xdr:spPr>
        <a:xfrm>
          <a:off x="9074150" y="10125075"/>
          <a:ext cx="2898775"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22</xdr:row>
      <xdr:rowOff>387351</xdr:rowOff>
    </xdr:from>
    <xdr:to>
      <xdr:col>9</xdr:col>
      <xdr:colOff>2901950</xdr:colOff>
      <xdr:row>22</xdr:row>
      <xdr:rowOff>723901</xdr:rowOff>
    </xdr:to>
    <xdr:sp macro="" textlink="">
      <xdr:nvSpPr>
        <xdr:cNvPr id="74" name="Rectangle 73">
          <a:hlinkClick xmlns:r="http://schemas.openxmlformats.org/officeDocument/2006/relationships" r:id="rId3"/>
          <a:extLst>
            <a:ext uri="{FF2B5EF4-FFF2-40B4-BE49-F238E27FC236}">
              <a16:creationId xmlns:a16="http://schemas.microsoft.com/office/drawing/2014/main" id="{BF8BE79B-83D1-4F5D-A844-475107126265}"/>
            </a:ext>
          </a:extLst>
        </xdr:cNvPr>
        <xdr:cNvSpPr/>
      </xdr:nvSpPr>
      <xdr:spPr>
        <a:xfrm>
          <a:off x="9074150" y="10125076"/>
          <a:ext cx="2898775"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22</xdr:row>
      <xdr:rowOff>387350</xdr:rowOff>
    </xdr:from>
    <xdr:to>
      <xdr:col>9</xdr:col>
      <xdr:colOff>2901950</xdr:colOff>
      <xdr:row>23</xdr:row>
      <xdr:rowOff>15875</xdr:rowOff>
    </xdr:to>
    <xdr:sp macro="" textlink="">
      <xdr:nvSpPr>
        <xdr:cNvPr id="75" name="Rectangle 74">
          <a:hlinkClick xmlns:r="http://schemas.openxmlformats.org/officeDocument/2006/relationships" r:id="rId3"/>
          <a:extLst>
            <a:ext uri="{FF2B5EF4-FFF2-40B4-BE49-F238E27FC236}">
              <a16:creationId xmlns:a16="http://schemas.microsoft.com/office/drawing/2014/main" id="{496C53A4-2C69-4C0C-9937-E3F27F205FD4}"/>
            </a:ext>
          </a:extLst>
        </xdr:cNvPr>
        <xdr:cNvSpPr/>
      </xdr:nvSpPr>
      <xdr:spPr>
        <a:xfrm>
          <a:off x="9074150" y="10125075"/>
          <a:ext cx="2898775"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22</xdr:row>
      <xdr:rowOff>387350</xdr:rowOff>
    </xdr:from>
    <xdr:to>
      <xdr:col>9</xdr:col>
      <xdr:colOff>2901950</xdr:colOff>
      <xdr:row>23</xdr:row>
      <xdr:rowOff>15875</xdr:rowOff>
    </xdr:to>
    <xdr:sp macro="" textlink="">
      <xdr:nvSpPr>
        <xdr:cNvPr id="76" name="Rectangle 75">
          <a:hlinkClick xmlns:r="http://schemas.openxmlformats.org/officeDocument/2006/relationships" r:id="rId3"/>
          <a:extLst>
            <a:ext uri="{FF2B5EF4-FFF2-40B4-BE49-F238E27FC236}">
              <a16:creationId xmlns:a16="http://schemas.microsoft.com/office/drawing/2014/main" id="{25386CB9-B4F9-4416-A439-0378E6557CC7}"/>
            </a:ext>
          </a:extLst>
        </xdr:cNvPr>
        <xdr:cNvSpPr/>
      </xdr:nvSpPr>
      <xdr:spPr>
        <a:xfrm>
          <a:off x="9074150" y="10125075"/>
          <a:ext cx="2898775"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23</xdr:row>
      <xdr:rowOff>12698</xdr:rowOff>
    </xdr:from>
    <xdr:to>
      <xdr:col>9</xdr:col>
      <xdr:colOff>2914650</xdr:colOff>
      <xdr:row>23</xdr:row>
      <xdr:rowOff>380999</xdr:rowOff>
    </xdr:to>
    <xdr:sp macro="" textlink="">
      <xdr:nvSpPr>
        <xdr:cNvPr id="77" name="Rectangle 76">
          <a:hlinkClick xmlns:r="http://schemas.openxmlformats.org/officeDocument/2006/relationships" r:id="rId2"/>
          <a:extLst>
            <a:ext uri="{FF2B5EF4-FFF2-40B4-BE49-F238E27FC236}">
              <a16:creationId xmlns:a16="http://schemas.microsoft.com/office/drawing/2014/main" id="{C2EEC15B-D93E-44F9-98FE-86BCF1A8E35F}"/>
            </a:ext>
          </a:extLst>
        </xdr:cNvPr>
        <xdr:cNvSpPr/>
      </xdr:nvSpPr>
      <xdr:spPr>
        <a:xfrm>
          <a:off x="9064625" y="1175384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23</xdr:row>
      <xdr:rowOff>12698</xdr:rowOff>
    </xdr:from>
    <xdr:to>
      <xdr:col>9</xdr:col>
      <xdr:colOff>2914650</xdr:colOff>
      <xdr:row>23</xdr:row>
      <xdr:rowOff>380999</xdr:rowOff>
    </xdr:to>
    <xdr:sp macro="" textlink="">
      <xdr:nvSpPr>
        <xdr:cNvPr id="78" name="Rectangle 77">
          <a:hlinkClick xmlns:r="http://schemas.openxmlformats.org/officeDocument/2006/relationships" r:id="rId2"/>
          <a:extLst>
            <a:ext uri="{FF2B5EF4-FFF2-40B4-BE49-F238E27FC236}">
              <a16:creationId xmlns:a16="http://schemas.microsoft.com/office/drawing/2014/main" id="{D368F62B-4909-4310-A2AF-BC94386856C2}"/>
            </a:ext>
          </a:extLst>
        </xdr:cNvPr>
        <xdr:cNvSpPr/>
      </xdr:nvSpPr>
      <xdr:spPr>
        <a:xfrm>
          <a:off x="9064625" y="1175384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23</xdr:row>
      <xdr:rowOff>12698</xdr:rowOff>
    </xdr:from>
    <xdr:to>
      <xdr:col>9</xdr:col>
      <xdr:colOff>2914650</xdr:colOff>
      <xdr:row>23</xdr:row>
      <xdr:rowOff>380999</xdr:rowOff>
    </xdr:to>
    <xdr:sp macro="" textlink="">
      <xdr:nvSpPr>
        <xdr:cNvPr id="79" name="Rectangle 78">
          <a:hlinkClick xmlns:r="http://schemas.openxmlformats.org/officeDocument/2006/relationships" r:id="rId2"/>
          <a:extLst>
            <a:ext uri="{FF2B5EF4-FFF2-40B4-BE49-F238E27FC236}">
              <a16:creationId xmlns:a16="http://schemas.microsoft.com/office/drawing/2014/main" id="{D96AAB09-468A-4661-BBD5-FBEAF5DE54F2}"/>
            </a:ext>
          </a:extLst>
        </xdr:cNvPr>
        <xdr:cNvSpPr/>
      </xdr:nvSpPr>
      <xdr:spPr>
        <a:xfrm>
          <a:off x="9064625" y="1175384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22</xdr:row>
      <xdr:rowOff>387351</xdr:rowOff>
    </xdr:from>
    <xdr:to>
      <xdr:col>9</xdr:col>
      <xdr:colOff>2901950</xdr:colOff>
      <xdr:row>22</xdr:row>
      <xdr:rowOff>723901</xdr:rowOff>
    </xdr:to>
    <xdr:sp macro="" textlink="">
      <xdr:nvSpPr>
        <xdr:cNvPr id="80" name="Rectangle 79">
          <a:hlinkClick xmlns:r="http://schemas.openxmlformats.org/officeDocument/2006/relationships" r:id="rId3"/>
          <a:extLst>
            <a:ext uri="{FF2B5EF4-FFF2-40B4-BE49-F238E27FC236}">
              <a16:creationId xmlns:a16="http://schemas.microsoft.com/office/drawing/2014/main" id="{D30BFFED-BAC3-42F5-A35A-2ADF7828B601}"/>
            </a:ext>
          </a:extLst>
        </xdr:cNvPr>
        <xdr:cNvSpPr/>
      </xdr:nvSpPr>
      <xdr:spPr>
        <a:xfrm>
          <a:off x="9074150" y="11582401"/>
          <a:ext cx="28987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23</xdr:row>
      <xdr:rowOff>447675</xdr:rowOff>
    </xdr:from>
    <xdr:to>
      <xdr:col>9</xdr:col>
      <xdr:colOff>2828925</xdr:colOff>
      <xdr:row>23</xdr:row>
      <xdr:rowOff>600075</xdr:rowOff>
    </xdr:to>
    <xdr:sp macro="" textlink="">
      <xdr:nvSpPr>
        <xdr:cNvPr id="81" name="Rectangle 80">
          <a:hlinkClick xmlns:r="http://schemas.openxmlformats.org/officeDocument/2006/relationships" r:id="rId1"/>
          <a:extLst>
            <a:ext uri="{FF2B5EF4-FFF2-40B4-BE49-F238E27FC236}">
              <a16:creationId xmlns:a16="http://schemas.microsoft.com/office/drawing/2014/main" id="{DBBE0DA2-DCF0-4F09-B9E8-59D6850261E8}"/>
            </a:ext>
          </a:extLst>
        </xdr:cNvPr>
        <xdr:cNvSpPr/>
      </xdr:nvSpPr>
      <xdr:spPr>
        <a:xfrm>
          <a:off x="9067800" y="12188825"/>
          <a:ext cx="28257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23</xdr:row>
      <xdr:rowOff>387351</xdr:rowOff>
    </xdr:from>
    <xdr:to>
      <xdr:col>9</xdr:col>
      <xdr:colOff>2901950</xdr:colOff>
      <xdr:row>23</xdr:row>
      <xdr:rowOff>723901</xdr:rowOff>
    </xdr:to>
    <xdr:sp macro="" textlink="">
      <xdr:nvSpPr>
        <xdr:cNvPr id="82" name="Rectangle 81">
          <a:hlinkClick xmlns:r="http://schemas.openxmlformats.org/officeDocument/2006/relationships" r:id="rId3"/>
          <a:extLst>
            <a:ext uri="{FF2B5EF4-FFF2-40B4-BE49-F238E27FC236}">
              <a16:creationId xmlns:a16="http://schemas.microsoft.com/office/drawing/2014/main" id="{F30D859D-51FD-4FE9-9A99-3B51F97AAA6D}"/>
            </a:ext>
          </a:extLst>
        </xdr:cNvPr>
        <xdr:cNvSpPr/>
      </xdr:nvSpPr>
      <xdr:spPr>
        <a:xfrm>
          <a:off x="9074150" y="12134851"/>
          <a:ext cx="28987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23</xdr:row>
      <xdr:rowOff>12698</xdr:rowOff>
    </xdr:from>
    <xdr:to>
      <xdr:col>9</xdr:col>
      <xdr:colOff>2914650</xdr:colOff>
      <xdr:row>23</xdr:row>
      <xdr:rowOff>380999</xdr:rowOff>
    </xdr:to>
    <xdr:sp macro="" textlink="">
      <xdr:nvSpPr>
        <xdr:cNvPr id="83" name="Rectangle 82">
          <a:hlinkClick xmlns:r="http://schemas.openxmlformats.org/officeDocument/2006/relationships" r:id="rId2"/>
          <a:extLst>
            <a:ext uri="{FF2B5EF4-FFF2-40B4-BE49-F238E27FC236}">
              <a16:creationId xmlns:a16="http://schemas.microsoft.com/office/drawing/2014/main" id="{BF222B12-B1DF-4467-91A6-76CF049079F6}"/>
            </a:ext>
          </a:extLst>
        </xdr:cNvPr>
        <xdr:cNvSpPr/>
      </xdr:nvSpPr>
      <xdr:spPr>
        <a:xfrm>
          <a:off x="9064625" y="11753848"/>
          <a:ext cx="2917825" cy="3714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23</xdr:row>
      <xdr:rowOff>387350</xdr:rowOff>
    </xdr:from>
    <xdr:to>
      <xdr:col>9</xdr:col>
      <xdr:colOff>2901950</xdr:colOff>
      <xdr:row>24</xdr:row>
      <xdr:rowOff>15875</xdr:rowOff>
    </xdr:to>
    <xdr:sp macro="" textlink="">
      <xdr:nvSpPr>
        <xdr:cNvPr id="84" name="Rectangle 83">
          <a:hlinkClick xmlns:r="http://schemas.openxmlformats.org/officeDocument/2006/relationships" r:id="rId3"/>
          <a:extLst>
            <a:ext uri="{FF2B5EF4-FFF2-40B4-BE49-F238E27FC236}">
              <a16:creationId xmlns:a16="http://schemas.microsoft.com/office/drawing/2014/main" id="{6BB0963D-9894-43AA-9D5E-C560A5429683}"/>
            </a:ext>
          </a:extLst>
        </xdr:cNvPr>
        <xdr:cNvSpPr/>
      </xdr:nvSpPr>
      <xdr:spPr>
        <a:xfrm>
          <a:off x="9074150" y="12134850"/>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23</xdr:row>
      <xdr:rowOff>387350</xdr:rowOff>
    </xdr:from>
    <xdr:to>
      <xdr:col>9</xdr:col>
      <xdr:colOff>2901950</xdr:colOff>
      <xdr:row>24</xdr:row>
      <xdr:rowOff>15875</xdr:rowOff>
    </xdr:to>
    <xdr:sp macro="" textlink="">
      <xdr:nvSpPr>
        <xdr:cNvPr id="85" name="Rectangle 84">
          <a:hlinkClick xmlns:r="http://schemas.openxmlformats.org/officeDocument/2006/relationships" r:id="rId3"/>
          <a:extLst>
            <a:ext uri="{FF2B5EF4-FFF2-40B4-BE49-F238E27FC236}">
              <a16:creationId xmlns:a16="http://schemas.microsoft.com/office/drawing/2014/main" id="{159742BA-A97E-46EA-A31A-E5F395ED2B30}"/>
            </a:ext>
          </a:extLst>
        </xdr:cNvPr>
        <xdr:cNvSpPr/>
      </xdr:nvSpPr>
      <xdr:spPr>
        <a:xfrm>
          <a:off x="9074150" y="12134850"/>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23</xdr:row>
      <xdr:rowOff>387351</xdr:rowOff>
    </xdr:from>
    <xdr:to>
      <xdr:col>9</xdr:col>
      <xdr:colOff>2901950</xdr:colOff>
      <xdr:row>23</xdr:row>
      <xdr:rowOff>723901</xdr:rowOff>
    </xdr:to>
    <xdr:sp macro="" textlink="">
      <xdr:nvSpPr>
        <xdr:cNvPr id="86" name="Rectangle 85">
          <a:hlinkClick xmlns:r="http://schemas.openxmlformats.org/officeDocument/2006/relationships" r:id="rId3"/>
          <a:extLst>
            <a:ext uri="{FF2B5EF4-FFF2-40B4-BE49-F238E27FC236}">
              <a16:creationId xmlns:a16="http://schemas.microsoft.com/office/drawing/2014/main" id="{542493AB-B9F8-40B7-9EAE-1A6E89E6F1E9}"/>
            </a:ext>
          </a:extLst>
        </xdr:cNvPr>
        <xdr:cNvSpPr/>
      </xdr:nvSpPr>
      <xdr:spPr>
        <a:xfrm>
          <a:off x="9074150" y="12134851"/>
          <a:ext cx="28987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23</xdr:row>
      <xdr:rowOff>387350</xdr:rowOff>
    </xdr:from>
    <xdr:to>
      <xdr:col>9</xdr:col>
      <xdr:colOff>2901950</xdr:colOff>
      <xdr:row>24</xdr:row>
      <xdr:rowOff>15875</xdr:rowOff>
    </xdr:to>
    <xdr:sp macro="" textlink="">
      <xdr:nvSpPr>
        <xdr:cNvPr id="87" name="Rectangle 86">
          <a:hlinkClick xmlns:r="http://schemas.openxmlformats.org/officeDocument/2006/relationships" r:id="rId3"/>
          <a:extLst>
            <a:ext uri="{FF2B5EF4-FFF2-40B4-BE49-F238E27FC236}">
              <a16:creationId xmlns:a16="http://schemas.microsoft.com/office/drawing/2014/main" id="{BF1E0765-FE41-4E9C-B2B1-2ED087350AD2}"/>
            </a:ext>
          </a:extLst>
        </xdr:cNvPr>
        <xdr:cNvSpPr/>
      </xdr:nvSpPr>
      <xdr:spPr>
        <a:xfrm>
          <a:off x="9074150" y="12134850"/>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23</xdr:row>
      <xdr:rowOff>387350</xdr:rowOff>
    </xdr:from>
    <xdr:to>
      <xdr:col>9</xdr:col>
      <xdr:colOff>2901950</xdr:colOff>
      <xdr:row>24</xdr:row>
      <xdr:rowOff>15875</xdr:rowOff>
    </xdr:to>
    <xdr:sp macro="" textlink="">
      <xdr:nvSpPr>
        <xdr:cNvPr id="88" name="Rectangle 87">
          <a:hlinkClick xmlns:r="http://schemas.openxmlformats.org/officeDocument/2006/relationships" r:id="rId3"/>
          <a:extLst>
            <a:ext uri="{FF2B5EF4-FFF2-40B4-BE49-F238E27FC236}">
              <a16:creationId xmlns:a16="http://schemas.microsoft.com/office/drawing/2014/main" id="{870ECA35-729C-47F6-BE54-981B6CE91EAD}"/>
            </a:ext>
          </a:extLst>
        </xdr:cNvPr>
        <xdr:cNvSpPr/>
      </xdr:nvSpPr>
      <xdr:spPr>
        <a:xfrm>
          <a:off x="9074150" y="12134850"/>
          <a:ext cx="2898775"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20</xdr:row>
      <xdr:rowOff>387351</xdr:rowOff>
    </xdr:from>
    <xdr:to>
      <xdr:col>9</xdr:col>
      <xdr:colOff>2901950</xdr:colOff>
      <xdr:row>20</xdr:row>
      <xdr:rowOff>723901</xdr:rowOff>
    </xdr:to>
    <xdr:sp macro="" textlink="">
      <xdr:nvSpPr>
        <xdr:cNvPr id="89" name="Rectangle 88">
          <a:hlinkClick xmlns:r="http://schemas.openxmlformats.org/officeDocument/2006/relationships" r:id="rId3"/>
          <a:extLst>
            <a:ext uri="{FF2B5EF4-FFF2-40B4-BE49-F238E27FC236}">
              <a16:creationId xmlns:a16="http://schemas.microsoft.com/office/drawing/2014/main" id="{28EBEF20-F2DB-4E2E-836C-E775A506A887}"/>
            </a:ext>
          </a:extLst>
        </xdr:cNvPr>
        <xdr:cNvSpPr/>
      </xdr:nvSpPr>
      <xdr:spPr>
        <a:xfrm>
          <a:off x="14284325" y="37661851"/>
          <a:ext cx="28987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21</xdr:row>
      <xdr:rowOff>387351</xdr:rowOff>
    </xdr:from>
    <xdr:to>
      <xdr:col>9</xdr:col>
      <xdr:colOff>2901950</xdr:colOff>
      <xdr:row>21</xdr:row>
      <xdr:rowOff>723901</xdr:rowOff>
    </xdr:to>
    <xdr:sp macro="" textlink="">
      <xdr:nvSpPr>
        <xdr:cNvPr id="90" name="Rectangle 89">
          <a:hlinkClick xmlns:r="http://schemas.openxmlformats.org/officeDocument/2006/relationships" r:id="rId3"/>
          <a:extLst>
            <a:ext uri="{FF2B5EF4-FFF2-40B4-BE49-F238E27FC236}">
              <a16:creationId xmlns:a16="http://schemas.microsoft.com/office/drawing/2014/main" id="{F6B6A7F2-E6FB-4B07-A36A-B337DFE9B497}"/>
            </a:ext>
          </a:extLst>
        </xdr:cNvPr>
        <xdr:cNvSpPr/>
      </xdr:nvSpPr>
      <xdr:spPr>
        <a:xfrm>
          <a:off x="9074150" y="10868026"/>
          <a:ext cx="28987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22</xdr:row>
      <xdr:rowOff>12698</xdr:rowOff>
    </xdr:from>
    <xdr:to>
      <xdr:col>9</xdr:col>
      <xdr:colOff>2914650</xdr:colOff>
      <xdr:row>22</xdr:row>
      <xdr:rowOff>380999</xdr:rowOff>
    </xdr:to>
    <xdr:sp macro="" textlink="">
      <xdr:nvSpPr>
        <xdr:cNvPr id="91" name="Rectangle 90">
          <a:hlinkClick xmlns:r="http://schemas.openxmlformats.org/officeDocument/2006/relationships" r:id="rId2"/>
          <a:extLst>
            <a:ext uri="{FF2B5EF4-FFF2-40B4-BE49-F238E27FC236}">
              <a16:creationId xmlns:a16="http://schemas.microsoft.com/office/drawing/2014/main" id="{199B5DE7-48C3-467F-88C6-2344C94F8CCA}"/>
            </a:ext>
          </a:extLst>
        </xdr:cNvPr>
        <xdr:cNvSpPr/>
      </xdr:nvSpPr>
      <xdr:spPr>
        <a:xfrm>
          <a:off x="9064625" y="11201398"/>
          <a:ext cx="2917825" cy="3619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21</xdr:row>
      <xdr:rowOff>387351</xdr:rowOff>
    </xdr:from>
    <xdr:to>
      <xdr:col>9</xdr:col>
      <xdr:colOff>2901950</xdr:colOff>
      <xdr:row>21</xdr:row>
      <xdr:rowOff>723901</xdr:rowOff>
    </xdr:to>
    <xdr:sp macro="" textlink="">
      <xdr:nvSpPr>
        <xdr:cNvPr id="92" name="Rectangle 91">
          <a:hlinkClick xmlns:r="http://schemas.openxmlformats.org/officeDocument/2006/relationships" r:id="rId3"/>
          <a:extLst>
            <a:ext uri="{FF2B5EF4-FFF2-40B4-BE49-F238E27FC236}">
              <a16:creationId xmlns:a16="http://schemas.microsoft.com/office/drawing/2014/main" id="{3F47B44D-0C0C-4152-ACF1-D2A188994D28}"/>
            </a:ext>
          </a:extLst>
        </xdr:cNvPr>
        <xdr:cNvSpPr/>
      </xdr:nvSpPr>
      <xdr:spPr>
        <a:xfrm>
          <a:off x="9074150" y="10868026"/>
          <a:ext cx="28987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22</xdr:row>
      <xdr:rowOff>447675</xdr:rowOff>
    </xdr:from>
    <xdr:to>
      <xdr:col>9</xdr:col>
      <xdr:colOff>2828925</xdr:colOff>
      <xdr:row>22</xdr:row>
      <xdr:rowOff>600075</xdr:rowOff>
    </xdr:to>
    <xdr:sp macro="" textlink="">
      <xdr:nvSpPr>
        <xdr:cNvPr id="93" name="Rectangle 92">
          <a:hlinkClick xmlns:r="http://schemas.openxmlformats.org/officeDocument/2006/relationships" r:id="rId1"/>
          <a:extLst>
            <a:ext uri="{FF2B5EF4-FFF2-40B4-BE49-F238E27FC236}">
              <a16:creationId xmlns:a16="http://schemas.microsoft.com/office/drawing/2014/main" id="{92ED0033-C2F3-4161-B485-E7585939D0F1}"/>
            </a:ext>
          </a:extLst>
        </xdr:cNvPr>
        <xdr:cNvSpPr/>
      </xdr:nvSpPr>
      <xdr:spPr>
        <a:xfrm>
          <a:off x="9067800" y="11560175"/>
          <a:ext cx="28257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22</xdr:row>
      <xdr:rowOff>12698</xdr:rowOff>
    </xdr:from>
    <xdr:to>
      <xdr:col>9</xdr:col>
      <xdr:colOff>2914650</xdr:colOff>
      <xdr:row>22</xdr:row>
      <xdr:rowOff>380999</xdr:rowOff>
    </xdr:to>
    <xdr:sp macro="" textlink="">
      <xdr:nvSpPr>
        <xdr:cNvPr id="94" name="Rectangle 93">
          <a:hlinkClick xmlns:r="http://schemas.openxmlformats.org/officeDocument/2006/relationships" r:id="rId2"/>
          <a:extLst>
            <a:ext uri="{FF2B5EF4-FFF2-40B4-BE49-F238E27FC236}">
              <a16:creationId xmlns:a16="http://schemas.microsoft.com/office/drawing/2014/main" id="{3B6E0B60-2536-4BE2-97C5-986F4FFB5575}"/>
            </a:ext>
          </a:extLst>
        </xdr:cNvPr>
        <xdr:cNvSpPr/>
      </xdr:nvSpPr>
      <xdr:spPr>
        <a:xfrm>
          <a:off x="9064625" y="11201398"/>
          <a:ext cx="2917825" cy="3619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21</xdr:row>
      <xdr:rowOff>387351</xdr:rowOff>
    </xdr:from>
    <xdr:to>
      <xdr:col>9</xdr:col>
      <xdr:colOff>2901950</xdr:colOff>
      <xdr:row>21</xdr:row>
      <xdr:rowOff>723901</xdr:rowOff>
    </xdr:to>
    <xdr:sp macro="" textlink="">
      <xdr:nvSpPr>
        <xdr:cNvPr id="95" name="Rectangle 94">
          <a:hlinkClick xmlns:r="http://schemas.openxmlformats.org/officeDocument/2006/relationships" r:id="rId3"/>
          <a:extLst>
            <a:ext uri="{FF2B5EF4-FFF2-40B4-BE49-F238E27FC236}">
              <a16:creationId xmlns:a16="http://schemas.microsoft.com/office/drawing/2014/main" id="{E001000C-2E00-4DF5-B299-62C2771D191A}"/>
            </a:ext>
          </a:extLst>
        </xdr:cNvPr>
        <xdr:cNvSpPr/>
      </xdr:nvSpPr>
      <xdr:spPr>
        <a:xfrm>
          <a:off x="9074150" y="10868026"/>
          <a:ext cx="28987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22</xdr:row>
      <xdr:rowOff>387351</xdr:rowOff>
    </xdr:from>
    <xdr:to>
      <xdr:col>9</xdr:col>
      <xdr:colOff>2901950</xdr:colOff>
      <xdr:row>22</xdr:row>
      <xdr:rowOff>723901</xdr:rowOff>
    </xdr:to>
    <xdr:sp macro="" textlink="">
      <xdr:nvSpPr>
        <xdr:cNvPr id="96" name="Rectangle 95">
          <a:hlinkClick xmlns:r="http://schemas.openxmlformats.org/officeDocument/2006/relationships" r:id="rId3"/>
          <a:extLst>
            <a:ext uri="{FF2B5EF4-FFF2-40B4-BE49-F238E27FC236}">
              <a16:creationId xmlns:a16="http://schemas.microsoft.com/office/drawing/2014/main" id="{D303BD70-AA19-404D-9CB3-02A0F5EC6465}"/>
            </a:ext>
          </a:extLst>
        </xdr:cNvPr>
        <xdr:cNvSpPr/>
      </xdr:nvSpPr>
      <xdr:spPr>
        <a:xfrm>
          <a:off x="9074150" y="10868026"/>
          <a:ext cx="28987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23</xdr:row>
      <xdr:rowOff>12698</xdr:rowOff>
    </xdr:from>
    <xdr:to>
      <xdr:col>9</xdr:col>
      <xdr:colOff>2914650</xdr:colOff>
      <xdr:row>23</xdr:row>
      <xdr:rowOff>380999</xdr:rowOff>
    </xdr:to>
    <xdr:sp macro="" textlink="">
      <xdr:nvSpPr>
        <xdr:cNvPr id="97" name="Rectangle 96">
          <a:hlinkClick xmlns:r="http://schemas.openxmlformats.org/officeDocument/2006/relationships" r:id="rId2"/>
          <a:extLst>
            <a:ext uri="{FF2B5EF4-FFF2-40B4-BE49-F238E27FC236}">
              <a16:creationId xmlns:a16="http://schemas.microsoft.com/office/drawing/2014/main" id="{DAAA817C-91BE-4AC3-B6F3-73E3F94617CF}"/>
            </a:ext>
          </a:extLst>
        </xdr:cNvPr>
        <xdr:cNvSpPr/>
      </xdr:nvSpPr>
      <xdr:spPr>
        <a:xfrm>
          <a:off x="9064625" y="11201398"/>
          <a:ext cx="2917825" cy="3619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22</xdr:row>
      <xdr:rowOff>387351</xdr:rowOff>
    </xdr:from>
    <xdr:to>
      <xdr:col>9</xdr:col>
      <xdr:colOff>2901950</xdr:colOff>
      <xdr:row>22</xdr:row>
      <xdr:rowOff>723901</xdr:rowOff>
    </xdr:to>
    <xdr:sp macro="" textlink="">
      <xdr:nvSpPr>
        <xdr:cNvPr id="98" name="Rectangle 97">
          <a:hlinkClick xmlns:r="http://schemas.openxmlformats.org/officeDocument/2006/relationships" r:id="rId3"/>
          <a:extLst>
            <a:ext uri="{FF2B5EF4-FFF2-40B4-BE49-F238E27FC236}">
              <a16:creationId xmlns:a16="http://schemas.microsoft.com/office/drawing/2014/main" id="{FFCC41C6-AC31-4DC3-B8B9-E84E96728A07}"/>
            </a:ext>
          </a:extLst>
        </xdr:cNvPr>
        <xdr:cNvSpPr/>
      </xdr:nvSpPr>
      <xdr:spPr>
        <a:xfrm>
          <a:off x="9074150" y="10868026"/>
          <a:ext cx="28987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0</xdr:colOff>
      <xdr:row>23</xdr:row>
      <xdr:rowOff>447675</xdr:rowOff>
    </xdr:from>
    <xdr:to>
      <xdr:col>9</xdr:col>
      <xdr:colOff>2828925</xdr:colOff>
      <xdr:row>23</xdr:row>
      <xdr:rowOff>600075</xdr:rowOff>
    </xdr:to>
    <xdr:sp macro="" textlink="">
      <xdr:nvSpPr>
        <xdr:cNvPr id="99" name="Rectangle 98">
          <a:hlinkClick xmlns:r="http://schemas.openxmlformats.org/officeDocument/2006/relationships" r:id="rId1"/>
          <a:extLst>
            <a:ext uri="{FF2B5EF4-FFF2-40B4-BE49-F238E27FC236}">
              <a16:creationId xmlns:a16="http://schemas.microsoft.com/office/drawing/2014/main" id="{BCA9B32F-109B-44AB-950A-1A536AF52126}"/>
            </a:ext>
          </a:extLst>
        </xdr:cNvPr>
        <xdr:cNvSpPr/>
      </xdr:nvSpPr>
      <xdr:spPr>
        <a:xfrm>
          <a:off x="9067800" y="11560175"/>
          <a:ext cx="2825750"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1597025</xdr:colOff>
      <xdr:row>23</xdr:row>
      <xdr:rowOff>12698</xdr:rowOff>
    </xdr:from>
    <xdr:to>
      <xdr:col>9</xdr:col>
      <xdr:colOff>2914650</xdr:colOff>
      <xdr:row>23</xdr:row>
      <xdr:rowOff>380999</xdr:rowOff>
    </xdr:to>
    <xdr:sp macro="" textlink="">
      <xdr:nvSpPr>
        <xdr:cNvPr id="100" name="Rectangle 99">
          <a:hlinkClick xmlns:r="http://schemas.openxmlformats.org/officeDocument/2006/relationships" r:id="rId2"/>
          <a:extLst>
            <a:ext uri="{FF2B5EF4-FFF2-40B4-BE49-F238E27FC236}">
              <a16:creationId xmlns:a16="http://schemas.microsoft.com/office/drawing/2014/main" id="{3AA3733D-E667-4E29-BF56-1F8FE9C0F562}"/>
            </a:ext>
          </a:extLst>
        </xdr:cNvPr>
        <xdr:cNvSpPr/>
      </xdr:nvSpPr>
      <xdr:spPr>
        <a:xfrm>
          <a:off x="9064625" y="11201398"/>
          <a:ext cx="2917825" cy="3619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22</xdr:row>
      <xdr:rowOff>387351</xdr:rowOff>
    </xdr:from>
    <xdr:to>
      <xdr:col>9</xdr:col>
      <xdr:colOff>2901950</xdr:colOff>
      <xdr:row>22</xdr:row>
      <xdr:rowOff>723901</xdr:rowOff>
    </xdr:to>
    <xdr:sp macro="" textlink="">
      <xdr:nvSpPr>
        <xdr:cNvPr id="101" name="Rectangle 100">
          <a:hlinkClick xmlns:r="http://schemas.openxmlformats.org/officeDocument/2006/relationships" r:id="rId3"/>
          <a:extLst>
            <a:ext uri="{FF2B5EF4-FFF2-40B4-BE49-F238E27FC236}">
              <a16:creationId xmlns:a16="http://schemas.microsoft.com/office/drawing/2014/main" id="{E9395DAF-35C9-48B1-9A3E-F72797731C77}"/>
            </a:ext>
          </a:extLst>
        </xdr:cNvPr>
        <xdr:cNvSpPr/>
      </xdr:nvSpPr>
      <xdr:spPr>
        <a:xfrm>
          <a:off x="9074150" y="10868026"/>
          <a:ext cx="2898775"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23</xdr:row>
      <xdr:rowOff>387350</xdr:rowOff>
    </xdr:from>
    <xdr:to>
      <xdr:col>9</xdr:col>
      <xdr:colOff>2901950</xdr:colOff>
      <xdr:row>24</xdr:row>
      <xdr:rowOff>15875</xdr:rowOff>
    </xdr:to>
    <xdr:sp macro="" textlink="">
      <xdr:nvSpPr>
        <xdr:cNvPr id="102" name="Rectangle 101">
          <a:hlinkClick xmlns:r="http://schemas.openxmlformats.org/officeDocument/2006/relationships" r:id="rId3"/>
          <a:extLst>
            <a:ext uri="{FF2B5EF4-FFF2-40B4-BE49-F238E27FC236}">
              <a16:creationId xmlns:a16="http://schemas.microsoft.com/office/drawing/2014/main" id="{E8FD4E87-09C9-475A-8101-8AD99DB70703}"/>
            </a:ext>
          </a:extLst>
        </xdr:cNvPr>
        <xdr:cNvSpPr/>
      </xdr:nvSpPr>
      <xdr:spPr>
        <a:xfrm>
          <a:off x="9074150" y="10125075"/>
          <a:ext cx="2898775"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23</xdr:row>
      <xdr:rowOff>387350</xdr:rowOff>
    </xdr:from>
    <xdr:to>
      <xdr:col>9</xdr:col>
      <xdr:colOff>2901950</xdr:colOff>
      <xdr:row>24</xdr:row>
      <xdr:rowOff>15875</xdr:rowOff>
    </xdr:to>
    <xdr:sp macro="" textlink="">
      <xdr:nvSpPr>
        <xdr:cNvPr id="103" name="Rectangle 102">
          <a:hlinkClick xmlns:r="http://schemas.openxmlformats.org/officeDocument/2006/relationships" r:id="rId3"/>
          <a:extLst>
            <a:ext uri="{FF2B5EF4-FFF2-40B4-BE49-F238E27FC236}">
              <a16:creationId xmlns:a16="http://schemas.microsoft.com/office/drawing/2014/main" id="{B795C639-3D6A-4D95-A04A-8C333DB82E73}"/>
            </a:ext>
          </a:extLst>
        </xdr:cNvPr>
        <xdr:cNvSpPr/>
      </xdr:nvSpPr>
      <xdr:spPr>
        <a:xfrm>
          <a:off x="9074150" y="10125075"/>
          <a:ext cx="2898775"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23</xdr:row>
      <xdr:rowOff>387350</xdr:rowOff>
    </xdr:from>
    <xdr:to>
      <xdr:col>9</xdr:col>
      <xdr:colOff>2901950</xdr:colOff>
      <xdr:row>24</xdr:row>
      <xdr:rowOff>15875</xdr:rowOff>
    </xdr:to>
    <xdr:sp macro="" textlink="">
      <xdr:nvSpPr>
        <xdr:cNvPr id="104" name="Rectangle 103">
          <a:hlinkClick xmlns:r="http://schemas.openxmlformats.org/officeDocument/2006/relationships" r:id="rId3"/>
          <a:extLst>
            <a:ext uri="{FF2B5EF4-FFF2-40B4-BE49-F238E27FC236}">
              <a16:creationId xmlns:a16="http://schemas.microsoft.com/office/drawing/2014/main" id="{100A6860-E077-4C80-815B-81A0E6DDCACB}"/>
            </a:ext>
          </a:extLst>
        </xdr:cNvPr>
        <xdr:cNvSpPr/>
      </xdr:nvSpPr>
      <xdr:spPr>
        <a:xfrm>
          <a:off x="9074150" y="10125075"/>
          <a:ext cx="2898775"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9525</xdr:colOff>
      <xdr:row>23</xdr:row>
      <xdr:rowOff>387350</xdr:rowOff>
    </xdr:from>
    <xdr:to>
      <xdr:col>9</xdr:col>
      <xdr:colOff>2901950</xdr:colOff>
      <xdr:row>24</xdr:row>
      <xdr:rowOff>15875</xdr:rowOff>
    </xdr:to>
    <xdr:sp macro="" textlink="">
      <xdr:nvSpPr>
        <xdr:cNvPr id="105" name="Rectangle 104">
          <a:hlinkClick xmlns:r="http://schemas.openxmlformats.org/officeDocument/2006/relationships" r:id="rId3"/>
          <a:extLst>
            <a:ext uri="{FF2B5EF4-FFF2-40B4-BE49-F238E27FC236}">
              <a16:creationId xmlns:a16="http://schemas.microsoft.com/office/drawing/2014/main" id="{09E4530A-9F37-44F7-82C1-51CF45B1F4C3}"/>
            </a:ext>
          </a:extLst>
        </xdr:cNvPr>
        <xdr:cNvSpPr/>
      </xdr:nvSpPr>
      <xdr:spPr>
        <a:xfrm>
          <a:off x="9074150" y="10125075"/>
          <a:ext cx="2898775" cy="368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34</xdr:row>
      <xdr:rowOff>381000</xdr:rowOff>
    </xdr:from>
    <xdr:to>
      <xdr:col>11</xdr:col>
      <xdr:colOff>1619250</xdr:colOff>
      <xdr:row>35</xdr:row>
      <xdr:rowOff>0</xdr:rowOff>
    </xdr:to>
    <xdr:sp macro="" textlink="">
      <xdr:nvSpPr>
        <xdr:cNvPr id="23" name="Rectangle 22">
          <a:hlinkClick xmlns:r="http://schemas.openxmlformats.org/officeDocument/2006/relationships" r:id="rId4"/>
          <a:extLst>
            <a:ext uri="{FF2B5EF4-FFF2-40B4-BE49-F238E27FC236}">
              <a16:creationId xmlns:a16="http://schemas.microsoft.com/office/drawing/2014/main" id="{E9B0B48C-3170-4D5B-9E4E-BD99F594FC54}"/>
            </a:ext>
          </a:extLst>
        </xdr:cNvPr>
        <xdr:cNvSpPr/>
      </xdr:nvSpPr>
      <xdr:spPr>
        <a:xfrm>
          <a:off x="13896975" y="15859125"/>
          <a:ext cx="16192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838200</xdr:colOff>
      <xdr:row>4</xdr:row>
      <xdr:rowOff>371475</xdr:rowOff>
    </xdr:from>
    <xdr:to>
      <xdr:col>6</xdr:col>
      <xdr:colOff>1454150</xdr:colOff>
      <xdr:row>5</xdr:row>
      <xdr:rowOff>158750</xdr:rowOff>
    </xdr:to>
    <xdr:sp macro="" textlink="">
      <xdr:nvSpPr>
        <xdr:cNvPr id="24" name="Rectangle 23">
          <a:hlinkClick xmlns:r="http://schemas.openxmlformats.org/officeDocument/2006/relationships" r:id="rId5"/>
          <a:extLst>
            <a:ext uri="{FF2B5EF4-FFF2-40B4-BE49-F238E27FC236}">
              <a16:creationId xmlns:a16="http://schemas.microsoft.com/office/drawing/2014/main" id="{3D614F64-D826-47DD-A051-2B6AC47AEA70}"/>
            </a:ext>
          </a:extLst>
        </xdr:cNvPr>
        <xdr:cNvSpPr/>
      </xdr:nvSpPr>
      <xdr:spPr>
        <a:xfrm>
          <a:off x="5343525" y="1228725"/>
          <a:ext cx="2311400" cy="177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324554</xdr:colOff>
      <xdr:row>43</xdr:row>
      <xdr:rowOff>25399</xdr:rowOff>
    </xdr:from>
    <xdr:to>
      <xdr:col>8</xdr:col>
      <xdr:colOff>529166</xdr:colOff>
      <xdr:row>58</xdr:row>
      <xdr:rowOff>122766</xdr:rowOff>
    </xdr:to>
    <xdr:graphicFrame macro="">
      <xdr:nvGraphicFramePr>
        <xdr:cNvPr id="5" name="Chart 4">
          <a:extLst>
            <a:ext uri="{FF2B5EF4-FFF2-40B4-BE49-F238E27FC236}">
              <a16:creationId xmlns:a16="http://schemas.microsoft.com/office/drawing/2014/main" id="{4041F7BC-5F0C-43B1-B0F8-ED63CC12FD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204611</xdr:colOff>
      <xdr:row>39</xdr:row>
      <xdr:rowOff>74788</xdr:rowOff>
    </xdr:from>
    <xdr:to>
      <xdr:col>1</xdr:col>
      <xdr:colOff>4776611</xdr:colOff>
      <xdr:row>54</xdr:row>
      <xdr:rowOff>172155</xdr:rowOff>
    </xdr:to>
    <xdr:graphicFrame macro="">
      <xdr:nvGraphicFramePr>
        <xdr:cNvPr id="4" name="Chart 3">
          <a:extLst>
            <a:ext uri="{FF2B5EF4-FFF2-40B4-BE49-F238E27FC236}">
              <a16:creationId xmlns:a16="http://schemas.microsoft.com/office/drawing/2014/main" id="{ADA4E631-9386-4509-8C46-052197247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324554</xdr:colOff>
      <xdr:row>41</xdr:row>
      <xdr:rowOff>25399</xdr:rowOff>
    </xdr:from>
    <xdr:to>
      <xdr:col>8</xdr:col>
      <xdr:colOff>529166</xdr:colOff>
      <xdr:row>56</xdr:row>
      <xdr:rowOff>122766</xdr:rowOff>
    </xdr:to>
    <xdr:graphicFrame macro="">
      <xdr:nvGraphicFramePr>
        <xdr:cNvPr id="6" name="Chart 5">
          <a:extLst>
            <a:ext uri="{FF2B5EF4-FFF2-40B4-BE49-F238E27FC236}">
              <a16:creationId xmlns:a16="http://schemas.microsoft.com/office/drawing/2014/main" id="{439EEEAB-CDAA-4907-9B54-A9589024C6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6197600</xdr:colOff>
      <xdr:row>28</xdr:row>
      <xdr:rowOff>146050</xdr:rowOff>
    </xdr:from>
    <xdr:to>
      <xdr:col>2</xdr:col>
      <xdr:colOff>107950</xdr:colOff>
      <xdr:row>43</xdr:row>
      <xdr:rowOff>127000</xdr:rowOff>
    </xdr:to>
    <xdr:graphicFrame macro="">
      <xdr:nvGraphicFramePr>
        <xdr:cNvPr id="3" name="Chart 2">
          <a:extLst>
            <a:ext uri="{FF2B5EF4-FFF2-40B4-BE49-F238E27FC236}">
              <a16:creationId xmlns:a16="http://schemas.microsoft.com/office/drawing/2014/main" id="{6D42F7E3-7DC5-4CE0-A267-EC1D38FB82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637010</xdr:colOff>
      <xdr:row>9</xdr:row>
      <xdr:rowOff>161925</xdr:rowOff>
    </xdr:from>
    <xdr:to>
      <xdr:col>21</xdr:col>
      <xdr:colOff>107933</xdr:colOff>
      <xdr:row>29</xdr:row>
      <xdr:rowOff>95387</xdr:rowOff>
    </xdr:to>
    <xdr:graphicFrame macro="">
      <xdr:nvGraphicFramePr>
        <xdr:cNvPr id="3" name="Chart 2">
          <a:extLst>
            <a:ext uri="{FF2B5EF4-FFF2-40B4-BE49-F238E27FC236}">
              <a16:creationId xmlns:a16="http://schemas.microsoft.com/office/drawing/2014/main" id="{CBE4C49B-13A1-4448-8311-AEF20AEB6A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10</xdr:row>
      <xdr:rowOff>0</xdr:rowOff>
    </xdr:from>
    <xdr:to>
      <xdr:col>10</xdr:col>
      <xdr:colOff>276225</xdr:colOff>
      <xdr:row>29</xdr:row>
      <xdr:rowOff>76200</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2E32A254-07F1-4EBA-9DDF-3327AA364BE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400300" y="2095500"/>
              <a:ext cx="5867400" cy="36957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238123</xdr:colOff>
      <xdr:row>10</xdr:row>
      <xdr:rowOff>95251</xdr:rowOff>
    </xdr:from>
    <xdr:to>
      <xdr:col>1</xdr:col>
      <xdr:colOff>4352923</xdr:colOff>
      <xdr:row>10</xdr:row>
      <xdr:rowOff>1555116</xdr:rowOff>
    </xdr:to>
    <xdr:sp macro="" textlink="">
      <xdr:nvSpPr>
        <xdr:cNvPr id="2" name="Rectangle 1">
          <a:extLst>
            <a:ext uri="{FF2B5EF4-FFF2-40B4-BE49-F238E27FC236}">
              <a16:creationId xmlns:a16="http://schemas.microsoft.com/office/drawing/2014/main" id="{5195EB83-661B-49EA-B03D-E50F52D7A25C}"/>
            </a:ext>
          </a:extLst>
        </xdr:cNvPr>
        <xdr:cNvSpPr/>
      </xdr:nvSpPr>
      <xdr:spPr>
        <a:xfrm>
          <a:off x="457198" y="3810001"/>
          <a:ext cx="4114800" cy="14598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b="1">
              <a:solidFill>
                <a:schemeClr val="tx2"/>
              </a:solidFill>
            </a:rPr>
            <a:t>Development</a:t>
          </a:r>
        </a:p>
        <a:p>
          <a:pPr algn="ctr"/>
          <a:r>
            <a:rPr lang="en-US" sz="1200" b="0">
              <a:solidFill>
                <a:schemeClr val="tx2"/>
              </a:solidFill>
            </a:rPr>
            <a:t>Costs associated</a:t>
          </a:r>
          <a:r>
            <a:rPr lang="en-US" sz="1200" b="0" baseline="0">
              <a:solidFill>
                <a:schemeClr val="tx2"/>
              </a:solidFill>
            </a:rPr>
            <a:t> with scoping and planning for implementation, including </a:t>
          </a:r>
          <a:r>
            <a:rPr lang="en-US" sz="1200" b="0">
              <a:solidFill>
                <a:schemeClr val="tx2"/>
              </a:solidFill>
            </a:rPr>
            <a:t>human resources, travel for meetings, workshops, requirements gathering, project management and overhead, and other direct and indirect costs.</a:t>
          </a:r>
        </a:p>
      </xdr:txBody>
    </xdr:sp>
    <xdr:clientData/>
  </xdr:twoCellAnchor>
  <xdr:twoCellAnchor>
    <xdr:from>
      <xdr:col>1</xdr:col>
      <xdr:colOff>5232399</xdr:colOff>
      <xdr:row>10</xdr:row>
      <xdr:rowOff>92076</xdr:rowOff>
    </xdr:from>
    <xdr:to>
      <xdr:col>1</xdr:col>
      <xdr:colOff>9347199</xdr:colOff>
      <xdr:row>10</xdr:row>
      <xdr:rowOff>1555116</xdr:rowOff>
    </xdr:to>
    <xdr:sp macro="" textlink="">
      <xdr:nvSpPr>
        <xdr:cNvPr id="3" name="Rectangle 2">
          <a:extLst>
            <a:ext uri="{FF2B5EF4-FFF2-40B4-BE49-F238E27FC236}">
              <a16:creationId xmlns:a16="http://schemas.microsoft.com/office/drawing/2014/main" id="{59D9E175-B269-4AE5-9B61-94E021DCC4BE}"/>
            </a:ext>
          </a:extLst>
        </xdr:cNvPr>
        <xdr:cNvSpPr/>
      </xdr:nvSpPr>
      <xdr:spPr>
        <a:xfrm>
          <a:off x="5451474" y="3806826"/>
          <a:ext cx="4114800" cy="146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b="1">
              <a:solidFill>
                <a:schemeClr val="tx2"/>
              </a:solidFill>
            </a:rPr>
            <a:t>Deployment</a:t>
          </a:r>
        </a:p>
        <a:p>
          <a:pPr algn="ctr"/>
          <a:r>
            <a:rPr lang="en-US" sz="1200" b="0">
              <a:solidFill>
                <a:schemeClr val="tx2"/>
              </a:solidFill>
            </a:rPr>
            <a:t>Costs associated</a:t>
          </a:r>
          <a:r>
            <a:rPr lang="en-US" sz="1200" b="0" baseline="0">
              <a:solidFill>
                <a:schemeClr val="tx2"/>
              </a:solidFill>
            </a:rPr>
            <a:t> with with deploying the solution to a set number of locations as the system is scaled. Includes one-time costs for equipment, infrastructure, new deployment training, implementation services, interoperability updates and system integrations, and further software development to address issues during the deployment time period.</a:t>
          </a:r>
          <a:endParaRPr lang="en-US" sz="1200" b="0">
            <a:solidFill>
              <a:schemeClr val="tx2"/>
            </a:solidFill>
          </a:endParaRPr>
        </a:p>
      </xdr:txBody>
    </xdr:sp>
    <xdr:clientData/>
  </xdr:twoCellAnchor>
  <xdr:twoCellAnchor>
    <xdr:from>
      <xdr:col>1</xdr:col>
      <xdr:colOff>10220326</xdr:colOff>
      <xdr:row>10</xdr:row>
      <xdr:rowOff>95251</xdr:rowOff>
    </xdr:from>
    <xdr:to>
      <xdr:col>1</xdr:col>
      <xdr:colOff>14335126</xdr:colOff>
      <xdr:row>10</xdr:row>
      <xdr:rowOff>1555116</xdr:rowOff>
    </xdr:to>
    <xdr:sp macro="" textlink="">
      <xdr:nvSpPr>
        <xdr:cNvPr id="4" name="Rectangle 3">
          <a:extLst>
            <a:ext uri="{FF2B5EF4-FFF2-40B4-BE49-F238E27FC236}">
              <a16:creationId xmlns:a16="http://schemas.microsoft.com/office/drawing/2014/main" id="{40A59DEB-247E-401A-B3A4-0FDEF9D57D55}"/>
            </a:ext>
          </a:extLst>
        </xdr:cNvPr>
        <xdr:cNvSpPr/>
      </xdr:nvSpPr>
      <xdr:spPr>
        <a:xfrm>
          <a:off x="10439401" y="3810001"/>
          <a:ext cx="4114800" cy="14598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b="1">
              <a:solidFill>
                <a:schemeClr val="tx2"/>
              </a:solidFill>
            </a:rPr>
            <a:t>Operations</a:t>
          </a:r>
        </a:p>
        <a:p>
          <a:pPr algn="ctr"/>
          <a:r>
            <a:rPr lang="en-US" sz="1200" b="0">
              <a:solidFill>
                <a:schemeClr val="tx2"/>
              </a:solidFill>
            </a:rPr>
            <a:t>Costs associated</a:t>
          </a:r>
          <a:r>
            <a:rPr lang="en-US" sz="1200" b="0" baseline="0">
              <a:solidFill>
                <a:schemeClr val="tx2"/>
              </a:solidFill>
            </a:rPr>
            <a:t> with the ongoing operation of a DHI. Includes the human resource costs to manage and operate a DHI, regular maintenance and replacement costs, data and voice service, licenses and subscriptions, recurrent or refresher training, helpdesk support, project management, governance, and monitoring and evaluation. </a:t>
          </a:r>
          <a:endParaRPr lang="en-US" sz="1200" b="0">
            <a:solidFill>
              <a:schemeClr val="tx2"/>
            </a:solidFill>
          </a:endParaRPr>
        </a:p>
      </xdr:txBody>
    </xdr:sp>
    <xdr:clientData/>
  </xdr:twoCellAnchor>
  <xdr:twoCellAnchor>
    <xdr:from>
      <xdr:col>1</xdr:col>
      <xdr:colOff>2066929</xdr:colOff>
      <xdr:row>10</xdr:row>
      <xdr:rowOff>1625599</xdr:rowOff>
    </xdr:from>
    <xdr:to>
      <xdr:col>1</xdr:col>
      <xdr:colOff>7531102</xdr:colOff>
      <xdr:row>12</xdr:row>
      <xdr:rowOff>98425</xdr:rowOff>
    </xdr:to>
    <xdr:sp macro="" textlink="">
      <xdr:nvSpPr>
        <xdr:cNvPr id="5" name="Left Brace 4">
          <a:extLst>
            <a:ext uri="{FF2B5EF4-FFF2-40B4-BE49-F238E27FC236}">
              <a16:creationId xmlns:a16="http://schemas.microsoft.com/office/drawing/2014/main" id="{0DD48DA7-DA57-4592-BFEB-8C18C123C0A1}"/>
            </a:ext>
          </a:extLst>
        </xdr:cNvPr>
        <xdr:cNvSpPr/>
      </xdr:nvSpPr>
      <xdr:spPr>
        <a:xfrm rot="16200000">
          <a:off x="4806953" y="3203575"/>
          <a:ext cx="288926" cy="5464173"/>
        </a:xfrm>
        <a:prstGeom prst="leftBrace">
          <a:avLst>
            <a:gd name="adj1" fmla="val 8333"/>
            <a:gd name="adj2" fmla="val 51843"/>
          </a:avLst>
        </a:prstGeom>
        <a:ln>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3911600</xdr:colOff>
      <xdr:row>12</xdr:row>
      <xdr:rowOff>104776</xdr:rowOff>
    </xdr:from>
    <xdr:to>
      <xdr:col>1</xdr:col>
      <xdr:colOff>5915025</xdr:colOff>
      <xdr:row>13</xdr:row>
      <xdr:rowOff>38100</xdr:rowOff>
    </xdr:to>
    <xdr:sp macro="" textlink="">
      <xdr:nvSpPr>
        <xdr:cNvPr id="6" name="TextBox 5">
          <a:extLst>
            <a:ext uri="{FF2B5EF4-FFF2-40B4-BE49-F238E27FC236}">
              <a16:creationId xmlns:a16="http://schemas.microsoft.com/office/drawing/2014/main" id="{2E11EC3B-C7A8-4A0C-8DAD-0C995A2C940D}"/>
            </a:ext>
          </a:extLst>
        </xdr:cNvPr>
        <xdr:cNvSpPr txBox="1"/>
      </xdr:nvSpPr>
      <xdr:spPr>
        <a:xfrm>
          <a:off x="4130675" y="5629276"/>
          <a:ext cx="2003425"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One-time costs  </a:t>
          </a:r>
        </a:p>
      </xdr:txBody>
    </xdr:sp>
    <xdr:clientData/>
  </xdr:twoCellAnchor>
  <xdr:twoCellAnchor>
    <xdr:from>
      <xdr:col>1</xdr:col>
      <xdr:colOff>10763250</xdr:colOff>
      <xdr:row>10</xdr:row>
      <xdr:rowOff>1625599</xdr:rowOff>
    </xdr:from>
    <xdr:to>
      <xdr:col>1</xdr:col>
      <xdr:colOff>13896975</xdr:colOff>
      <xdr:row>12</xdr:row>
      <xdr:rowOff>107950</xdr:rowOff>
    </xdr:to>
    <xdr:sp macro="" textlink="">
      <xdr:nvSpPr>
        <xdr:cNvPr id="7" name="Left Brace 6">
          <a:extLst>
            <a:ext uri="{FF2B5EF4-FFF2-40B4-BE49-F238E27FC236}">
              <a16:creationId xmlns:a16="http://schemas.microsoft.com/office/drawing/2014/main" id="{C18E92E8-83D3-4A02-A4AD-16DB1B6BB319}"/>
            </a:ext>
          </a:extLst>
        </xdr:cNvPr>
        <xdr:cNvSpPr/>
      </xdr:nvSpPr>
      <xdr:spPr>
        <a:xfrm rot="16200000">
          <a:off x="12333287" y="4373562"/>
          <a:ext cx="298451" cy="3133725"/>
        </a:xfrm>
        <a:prstGeom prst="leftBrace">
          <a:avLst>
            <a:gd name="adj1" fmla="val 8333"/>
            <a:gd name="adj2" fmla="val 51843"/>
          </a:avLst>
        </a:prstGeom>
        <a:ln>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11410950</xdr:colOff>
      <xdr:row>12</xdr:row>
      <xdr:rowOff>130178</xdr:rowOff>
    </xdr:from>
    <xdr:to>
      <xdr:col>1</xdr:col>
      <xdr:colOff>13457425</xdr:colOff>
      <xdr:row>13</xdr:row>
      <xdr:rowOff>47625</xdr:rowOff>
    </xdr:to>
    <xdr:sp macro="" textlink="">
      <xdr:nvSpPr>
        <xdr:cNvPr id="8" name="TextBox 7">
          <a:extLst>
            <a:ext uri="{FF2B5EF4-FFF2-40B4-BE49-F238E27FC236}">
              <a16:creationId xmlns:a16="http://schemas.microsoft.com/office/drawing/2014/main" id="{934EE2A1-8156-4EE1-AFCC-2725E4410A53}"/>
            </a:ext>
          </a:extLst>
        </xdr:cNvPr>
        <xdr:cNvSpPr txBox="1"/>
      </xdr:nvSpPr>
      <xdr:spPr>
        <a:xfrm>
          <a:off x="11630025" y="5654678"/>
          <a:ext cx="2046475" cy="231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Recurring costs</a:t>
          </a:r>
          <a:r>
            <a:rPr lang="en-US" sz="1100" b="1" baseline="0"/>
            <a:t> </a:t>
          </a:r>
          <a:endParaRPr lang="en-US" sz="1100" b="1"/>
        </a:p>
      </xdr:txBody>
    </xdr:sp>
    <xdr:clientData/>
  </xdr:twoCellAnchor>
  <xdr:twoCellAnchor>
    <xdr:from>
      <xdr:col>1</xdr:col>
      <xdr:colOff>0</xdr:colOff>
      <xdr:row>22</xdr:row>
      <xdr:rowOff>178432</xdr:rowOff>
    </xdr:from>
    <xdr:to>
      <xdr:col>1</xdr:col>
      <xdr:colOff>2755900</xdr:colOff>
      <xdr:row>23</xdr:row>
      <xdr:rowOff>1842588</xdr:rowOff>
    </xdr:to>
    <xdr:sp macro="" textlink="">
      <xdr:nvSpPr>
        <xdr:cNvPr id="12" name="Rectangle 11">
          <a:extLst>
            <a:ext uri="{FF2B5EF4-FFF2-40B4-BE49-F238E27FC236}">
              <a16:creationId xmlns:a16="http://schemas.microsoft.com/office/drawing/2014/main" id="{CBD6C052-20D8-48C0-9A35-A683CF742722}"/>
            </a:ext>
          </a:extLst>
        </xdr:cNvPr>
        <xdr:cNvSpPr/>
      </xdr:nvSpPr>
      <xdr:spPr>
        <a:xfrm>
          <a:off x="152400" y="6985632"/>
          <a:ext cx="2755900" cy="185719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ctr"/>
          <a:r>
            <a:rPr lang="en-US" sz="1200" b="1">
              <a:solidFill>
                <a:schemeClr val="tx2"/>
              </a:solidFill>
            </a:rPr>
            <a:t>User Guide</a:t>
          </a:r>
          <a:r>
            <a:rPr lang="en-US" sz="1200" b="1" baseline="0">
              <a:solidFill>
                <a:schemeClr val="tx2"/>
              </a:solidFill>
            </a:rPr>
            <a:t> </a:t>
          </a:r>
          <a:endParaRPr lang="en-US" sz="1200" b="1">
            <a:solidFill>
              <a:schemeClr val="tx2"/>
            </a:solidFill>
          </a:endParaRPr>
        </a:p>
        <a:p>
          <a:pPr algn="ctr"/>
          <a:r>
            <a:rPr lang="en-US" sz="1200" b="0">
              <a:solidFill>
                <a:schemeClr val="tx2"/>
              </a:solidFill>
            </a:rPr>
            <a:t>The</a:t>
          </a:r>
          <a:r>
            <a:rPr lang="en-US" sz="1200" b="0" baseline="0">
              <a:solidFill>
                <a:schemeClr val="tx2"/>
              </a:solidFill>
            </a:rPr>
            <a:t> User Guide tab has general information about the TCO tool. It includes an overview of the cost components included in the TCO, descriptions of the other tabs, key considerations and limitations, data sources, glossary of terms, and contact information for questions on use of the tool. </a:t>
          </a:r>
          <a:endParaRPr lang="en-US" sz="1200" b="0">
            <a:solidFill>
              <a:schemeClr val="tx2"/>
            </a:solidFill>
          </a:endParaRPr>
        </a:p>
      </xdr:txBody>
    </xdr:sp>
    <xdr:clientData/>
  </xdr:twoCellAnchor>
  <xdr:twoCellAnchor>
    <xdr:from>
      <xdr:col>1</xdr:col>
      <xdr:colOff>3155370</xdr:colOff>
      <xdr:row>22</xdr:row>
      <xdr:rowOff>168272</xdr:rowOff>
    </xdr:from>
    <xdr:to>
      <xdr:col>1</xdr:col>
      <xdr:colOff>6089070</xdr:colOff>
      <xdr:row>23</xdr:row>
      <xdr:rowOff>1832428</xdr:rowOff>
    </xdr:to>
    <xdr:sp macro="" textlink="">
      <xdr:nvSpPr>
        <xdr:cNvPr id="13" name="Rectangle 12">
          <a:extLst>
            <a:ext uri="{FF2B5EF4-FFF2-40B4-BE49-F238E27FC236}">
              <a16:creationId xmlns:a16="http://schemas.microsoft.com/office/drawing/2014/main" id="{C35F63C4-CABA-43B6-AA45-2217DC181159}"/>
            </a:ext>
          </a:extLst>
        </xdr:cNvPr>
        <xdr:cNvSpPr/>
      </xdr:nvSpPr>
      <xdr:spPr>
        <a:xfrm>
          <a:off x="3304109" y="6621245"/>
          <a:ext cx="2933700" cy="18586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ctr"/>
          <a:r>
            <a:rPr lang="en-US" sz="1200" b="1">
              <a:solidFill>
                <a:schemeClr val="tx2"/>
              </a:solidFill>
            </a:rPr>
            <a:t>Inputs</a:t>
          </a:r>
        </a:p>
        <a:p>
          <a:pPr algn="ctr"/>
          <a:r>
            <a:rPr lang="en-US" sz="1200" b="0">
              <a:solidFill>
                <a:schemeClr val="tx2"/>
              </a:solidFill>
            </a:rPr>
            <a:t>There are five data input tabs in the TCO that are organized by the scope of the implementation</a:t>
          </a:r>
          <a:r>
            <a:rPr lang="en-US" sz="1200" b="0" baseline="0">
              <a:solidFill>
                <a:schemeClr val="tx2"/>
              </a:solidFill>
            </a:rPr>
            <a:t> (country, scale, hosting model, etc.), the three cost categories (Development, Deployment, Operations), and one tab for cybersecurity costs. Data from these tabs are used to develop the cost summary and to conduct benchmarking.</a:t>
          </a:r>
          <a:endParaRPr lang="en-US" sz="1200" b="0">
            <a:solidFill>
              <a:schemeClr val="tx2"/>
            </a:solidFill>
          </a:endParaRPr>
        </a:p>
      </xdr:txBody>
    </xdr:sp>
    <xdr:clientData/>
  </xdr:twoCellAnchor>
  <xdr:twoCellAnchor>
    <xdr:from>
      <xdr:col>1</xdr:col>
      <xdr:colOff>8976759</xdr:colOff>
      <xdr:row>22</xdr:row>
      <xdr:rowOff>168272</xdr:rowOff>
    </xdr:from>
    <xdr:to>
      <xdr:col>1</xdr:col>
      <xdr:colOff>12545459</xdr:colOff>
      <xdr:row>23</xdr:row>
      <xdr:rowOff>1832428</xdr:rowOff>
    </xdr:to>
    <xdr:sp macro="" textlink="">
      <xdr:nvSpPr>
        <xdr:cNvPr id="14" name="Rectangle 13">
          <a:extLst>
            <a:ext uri="{FF2B5EF4-FFF2-40B4-BE49-F238E27FC236}">
              <a16:creationId xmlns:a16="http://schemas.microsoft.com/office/drawing/2014/main" id="{D5EE45F1-09BC-41F7-9800-C789CDA85712}"/>
            </a:ext>
          </a:extLst>
        </xdr:cNvPr>
        <xdr:cNvSpPr/>
      </xdr:nvSpPr>
      <xdr:spPr>
        <a:xfrm>
          <a:off x="9129159" y="7673972"/>
          <a:ext cx="3568700" cy="18546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ctr"/>
          <a:r>
            <a:rPr lang="en-US" sz="1200" b="1">
              <a:solidFill>
                <a:schemeClr val="tx2"/>
              </a:solidFill>
            </a:rPr>
            <a:t>Guidance - Benchmarking</a:t>
          </a:r>
        </a:p>
        <a:p>
          <a:pPr algn="ctr"/>
          <a:r>
            <a:rPr lang="en-US" sz="1200" b="0">
              <a:solidFill>
                <a:schemeClr val="tx2"/>
              </a:solidFill>
            </a:rPr>
            <a:t>The Benchmarking tab allows users to compare the relative costs of their solution to</a:t>
          </a:r>
          <a:r>
            <a:rPr lang="en-US" sz="1200" b="0" baseline="0">
              <a:solidFill>
                <a:schemeClr val="tx2"/>
              </a:solidFill>
            </a:rPr>
            <a:t> a TCO for national-level deployment of a solution in a low-resource setting. This analysis will flag for the user if the cost component does not seem accurate relative to other costs in the tool. Users will then be directed to return to the input tabs to revisit costs if applicable. This tab can only be used if the input tabs have been completed. </a:t>
          </a:r>
          <a:endParaRPr lang="en-US" sz="1200" b="0">
            <a:solidFill>
              <a:schemeClr val="tx2"/>
            </a:solidFill>
          </a:endParaRPr>
        </a:p>
      </xdr:txBody>
    </xdr:sp>
    <xdr:clientData/>
  </xdr:twoCellAnchor>
  <xdr:twoCellAnchor>
    <xdr:from>
      <xdr:col>1</xdr:col>
      <xdr:colOff>6488540</xdr:colOff>
      <xdr:row>22</xdr:row>
      <xdr:rowOff>168272</xdr:rowOff>
    </xdr:from>
    <xdr:to>
      <xdr:col>1</xdr:col>
      <xdr:colOff>8577289</xdr:colOff>
      <xdr:row>23</xdr:row>
      <xdr:rowOff>1832428</xdr:rowOff>
    </xdr:to>
    <xdr:sp macro="" textlink="">
      <xdr:nvSpPr>
        <xdr:cNvPr id="15" name="Rectangle 14">
          <a:extLst>
            <a:ext uri="{FF2B5EF4-FFF2-40B4-BE49-F238E27FC236}">
              <a16:creationId xmlns:a16="http://schemas.microsoft.com/office/drawing/2014/main" id="{4E5D8495-BC59-49FB-8916-18FE6DA699C0}"/>
            </a:ext>
          </a:extLst>
        </xdr:cNvPr>
        <xdr:cNvSpPr/>
      </xdr:nvSpPr>
      <xdr:spPr>
        <a:xfrm>
          <a:off x="6640940" y="7673972"/>
          <a:ext cx="2088749" cy="185465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ctr"/>
          <a:r>
            <a:rPr lang="en-US" sz="1200" b="1">
              <a:solidFill>
                <a:schemeClr val="tx2"/>
              </a:solidFill>
            </a:rPr>
            <a:t>Ouput - Cost Summary</a:t>
          </a:r>
        </a:p>
        <a:p>
          <a:pPr algn="ctr"/>
          <a:r>
            <a:rPr lang="en-US" sz="1200" b="0">
              <a:solidFill>
                <a:schemeClr val="tx2"/>
              </a:solidFill>
            </a:rPr>
            <a:t>The Cost Summary tab</a:t>
          </a:r>
          <a:r>
            <a:rPr lang="en-US" sz="1200" b="0" baseline="0">
              <a:solidFill>
                <a:schemeClr val="tx2"/>
              </a:solidFill>
            </a:rPr>
            <a:t> shows the cost of implementation over a 5-year period in a summarized form. This tab should only be used after the  input tabs have been filled.</a:t>
          </a:r>
          <a:endParaRPr lang="en-US" sz="1200" b="0">
            <a:solidFill>
              <a:schemeClr val="tx2"/>
            </a:solidFill>
          </a:endParaRPr>
        </a:p>
      </xdr:txBody>
    </xdr:sp>
    <xdr:clientData/>
  </xdr:twoCellAnchor>
  <xdr:twoCellAnchor>
    <xdr:from>
      <xdr:col>1</xdr:col>
      <xdr:colOff>12944929</xdr:colOff>
      <xdr:row>22</xdr:row>
      <xdr:rowOff>168272</xdr:rowOff>
    </xdr:from>
    <xdr:to>
      <xdr:col>1</xdr:col>
      <xdr:colOff>16573500</xdr:colOff>
      <xdr:row>23</xdr:row>
      <xdr:rowOff>1823356</xdr:rowOff>
    </xdr:to>
    <xdr:sp macro="" textlink="">
      <xdr:nvSpPr>
        <xdr:cNvPr id="16" name="Rectangle 15">
          <a:extLst>
            <a:ext uri="{FF2B5EF4-FFF2-40B4-BE49-F238E27FC236}">
              <a16:creationId xmlns:a16="http://schemas.microsoft.com/office/drawing/2014/main" id="{89C8C39C-9952-4771-AAC2-9B3637B3E6A0}"/>
            </a:ext>
          </a:extLst>
        </xdr:cNvPr>
        <xdr:cNvSpPr/>
      </xdr:nvSpPr>
      <xdr:spPr>
        <a:xfrm>
          <a:off x="13097329" y="7673972"/>
          <a:ext cx="3628571" cy="184558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t"/>
        <a:lstStyle/>
        <a:p>
          <a:pPr algn="ctr"/>
          <a:r>
            <a:rPr lang="en-US" sz="1200" b="1">
              <a:solidFill>
                <a:schemeClr val="tx2"/>
              </a:solidFill>
            </a:rPr>
            <a:t>Budget</a:t>
          </a:r>
          <a:r>
            <a:rPr lang="en-US" sz="1200" b="1" baseline="0">
              <a:solidFill>
                <a:schemeClr val="tx2"/>
              </a:solidFill>
            </a:rPr>
            <a:t> Commitments and Gaps</a:t>
          </a:r>
          <a:endParaRPr lang="en-US" sz="1200" b="1">
            <a:solidFill>
              <a:schemeClr val="tx2"/>
            </a:solidFill>
          </a:endParaRPr>
        </a:p>
        <a:p>
          <a:pPr algn="ctr"/>
          <a:r>
            <a:rPr lang="en-US" sz="1200" b="0">
              <a:solidFill>
                <a:schemeClr val="tx2"/>
              </a:solidFill>
            </a:rPr>
            <a:t>The Budget Commitments and Gaps tab shows the total cost of the digital health intervention over</a:t>
          </a:r>
          <a:r>
            <a:rPr lang="en-US" sz="1200" b="0" baseline="0">
              <a:solidFill>
                <a:schemeClr val="tx2"/>
              </a:solidFill>
            </a:rPr>
            <a:t> a 5-year period with funding commitments from government and other stakeholders. Users can enter planned or existing commitments for each phase.</a:t>
          </a:r>
          <a:endParaRPr lang="en-US" sz="1200" b="0">
            <a:solidFill>
              <a:schemeClr val="tx2"/>
            </a:solidFill>
          </a:endParaRPr>
        </a:p>
      </xdr:txBody>
    </xdr:sp>
    <xdr:clientData/>
  </xdr:twoCellAnchor>
  <xdr:twoCellAnchor>
    <xdr:from>
      <xdr:col>1</xdr:col>
      <xdr:colOff>241300</xdr:colOff>
      <xdr:row>10</xdr:row>
      <xdr:rowOff>101600</xdr:rowOff>
    </xdr:from>
    <xdr:to>
      <xdr:col>1</xdr:col>
      <xdr:colOff>4356100</xdr:colOff>
      <xdr:row>10</xdr:row>
      <xdr:rowOff>1610000</xdr:rowOff>
    </xdr:to>
    <xdr:sp macro="" textlink="">
      <xdr:nvSpPr>
        <xdr:cNvPr id="9" name="Rounded Rectangle 8">
          <a:extLst>
            <a:ext uri="{FF2B5EF4-FFF2-40B4-BE49-F238E27FC236}">
              <a16:creationId xmlns:a16="http://schemas.microsoft.com/office/drawing/2014/main" id="{D800D5A7-6198-B146-BCBD-16E6E50EBD28}"/>
            </a:ext>
          </a:extLst>
        </xdr:cNvPr>
        <xdr:cNvSpPr/>
      </xdr:nvSpPr>
      <xdr:spPr>
        <a:xfrm>
          <a:off x="389467" y="3784600"/>
          <a:ext cx="4114800" cy="1508400"/>
        </a:xfrm>
        <a:prstGeom prst="roundRect">
          <a:avLst/>
        </a:prstGeom>
        <a:solidFill>
          <a:srgbClr val="42536B"/>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n-US" sz="1400" b="1">
              <a:solidFill>
                <a:schemeClr val="bg1"/>
              </a:solidFill>
            </a:rPr>
            <a:t>Development Costs</a:t>
          </a:r>
          <a:endParaRPr lang="en-US" sz="400">
            <a:solidFill>
              <a:schemeClr val="bg1"/>
            </a:solidFill>
          </a:endParaRPr>
        </a:p>
        <a:p>
          <a:pPr algn="ctr"/>
          <a:r>
            <a:rPr lang="en-US" sz="1100">
              <a:solidFill>
                <a:schemeClr val="bg1"/>
              </a:solidFill>
            </a:rPr>
            <a:t>Costs associated with scoping and planning for implementation, including software development, human resources, travel for meetings, workshops, requirements gathering, project management and overheads, and other direct</a:t>
          </a:r>
          <a:r>
            <a:rPr lang="en-US" sz="1100" baseline="0">
              <a:solidFill>
                <a:schemeClr val="bg1"/>
              </a:solidFill>
            </a:rPr>
            <a:t> and </a:t>
          </a:r>
          <a:r>
            <a:rPr lang="en-US" sz="1100">
              <a:solidFill>
                <a:schemeClr val="bg1"/>
              </a:solidFill>
            </a:rPr>
            <a:t>indirect costs.</a:t>
          </a:r>
        </a:p>
      </xdr:txBody>
    </xdr:sp>
    <xdr:clientData/>
  </xdr:twoCellAnchor>
  <xdr:twoCellAnchor>
    <xdr:from>
      <xdr:col>1</xdr:col>
      <xdr:colOff>5232400</xdr:colOff>
      <xdr:row>10</xdr:row>
      <xdr:rowOff>101600</xdr:rowOff>
    </xdr:from>
    <xdr:to>
      <xdr:col>1</xdr:col>
      <xdr:colOff>9347200</xdr:colOff>
      <xdr:row>10</xdr:row>
      <xdr:rowOff>1612900</xdr:rowOff>
    </xdr:to>
    <xdr:sp macro="" textlink="">
      <xdr:nvSpPr>
        <xdr:cNvPr id="19" name="Rounded Rectangle 18">
          <a:extLst>
            <a:ext uri="{FF2B5EF4-FFF2-40B4-BE49-F238E27FC236}">
              <a16:creationId xmlns:a16="http://schemas.microsoft.com/office/drawing/2014/main" id="{89328271-6938-9B49-BC0A-375101544A86}"/>
            </a:ext>
          </a:extLst>
        </xdr:cNvPr>
        <xdr:cNvSpPr/>
      </xdr:nvSpPr>
      <xdr:spPr>
        <a:xfrm>
          <a:off x="5384800" y="4267200"/>
          <a:ext cx="4114800" cy="1511300"/>
        </a:xfrm>
        <a:prstGeom prst="roundRect">
          <a:avLst/>
        </a:prstGeom>
        <a:solidFill>
          <a:srgbClr val="42536B"/>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n-US" sz="1400" b="1">
              <a:solidFill>
                <a:schemeClr val="bg1"/>
              </a:solidFill>
            </a:rPr>
            <a:t>Deployment Costs</a:t>
          </a:r>
        </a:p>
        <a:p>
          <a:pPr algn="ctr"/>
          <a:r>
            <a:rPr lang="en-US" sz="1100" b="0">
              <a:solidFill>
                <a:schemeClr val="bg1"/>
              </a:solidFill>
            </a:rPr>
            <a:t>Costs associated with with deploying the solution to a set number of locations as the system is scaled. Includes one-time costs for equipment, infrastructure, new deployment training, implementation services, interoperability updates and system integrations, and further software development to address issues during the deployment time period.</a:t>
          </a:r>
          <a:endParaRPr lang="en-US" sz="1050" b="0">
            <a:solidFill>
              <a:schemeClr val="bg1"/>
            </a:solidFill>
          </a:endParaRPr>
        </a:p>
      </xdr:txBody>
    </xdr:sp>
    <xdr:clientData/>
  </xdr:twoCellAnchor>
  <xdr:twoCellAnchor>
    <xdr:from>
      <xdr:col>1</xdr:col>
      <xdr:colOff>10223500</xdr:colOff>
      <xdr:row>10</xdr:row>
      <xdr:rowOff>114300</xdr:rowOff>
    </xdr:from>
    <xdr:to>
      <xdr:col>1</xdr:col>
      <xdr:colOff>14338300</xdr:colOff>
      <xdr:row>10</xdr:row>
      <xdr:rowOff>1622700</xdr:rowOff>
    </xdr:to>
    <xdr:sp macro="" textlink="">
      <xdr:nvSpPr>
        <xdr:cNvPr id="20" name="Rounded Rectangle 19">
          <a:extLst>
            <a:ext uri="{FF2B5EF4-FFF2-40B4-BE49-F238E27FC236}">
              <a16:creationId xmlns:a16="http://schemas.microsoft.com/office/drawing/2014/main" id="{4A8C93CC-4901-3B47-8336-903DC384A15C}"/>
            </a:ext>
          </a:extLst>
        </xdr:cNvPr>
        <xdr:cNvSpPr/>
      </xdr:nvSpPr>
      <xdr:spPr>
        <a:xfrm>
          <a:off x="10375900" y="4279900"/>
          <a:ext cx="4114800" cy="1508400"/>
        </a:xfrm>
        <a:prstGeom prst="roundRect">
          <a:avLst/>
        </a:prstGeom>
        <a:solidFill>
          <a:srgbClr val="42536B"/>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n-US" sz="1400" b="1">
              <a:solidFill>
                <a:schemeClr val="bg1"/>
              </a:solidFill>
            </a:rPr>
            <a:t>Operations Costs</a:t>
          </a:r>
        </a:p>
        <a:p>
          <a:pPr algn="ctr"/>
          <a:r>
            <a:rPr lang="en-US" sz="1100">
              <a:solidFill>
                <a:schemeClr val="bg1"/>
              </a:solidFill>
            </a:rPr>
            <a:t>Costs associated with the ongoing operation of a digital health intervention. Includes the human resource costs to manage and operate an</a:t>
          </a:r>
          <a:r>
            <a:rPr lang="en-US" sz="1100" baseline="0">
              <a:solidFill>
                <a:schemeClr val="bg1"/>
              </a:solidFill>
            </a:rPr>
            <a:t> intervention</a:t>
          </a:r>
          <a:r>
            <a:rPr lang="en-US" sz="1100">
              <a:solidFill>
                <a:schemeClr val="bg1"/>
              </a:solidFill>
            </a:rPr>
            <a:t>, regular maintenance and replacement costs, data and voice service, licenses and subscriptions, recurrent or refresher training, helpdesk support, project management, governance,</a:t>
          </a:r>
          <a:r>
            <a:rPr lang="en-US" sz="1100" baseline="0">
              <a:solidFill>
                <a:schemeClr val="bg1"/>
              </a:solidFill>
            </a:rPr>
            <a:t> and monitoring and evaluation.</a:t>
          </a:r>
          <a:endParaRPr lang="en-US" sz="1100">
            <a:solidFill>
              <a:schemeClr val="bg1"/>
            </a:solidFill>
          </a:endParaRPr>
        </a:p>
      </xdr:txBody>
    </xdr:sp>
    <xdr:clientData/>
  </xdr:twoCellAnchor>
  <xdr:twoCellAnchor>
    <xdr:from>
      <xdr:col>1</xdr:col>
      <xdr:colOff>3911600</xdr:colOff>
      <xdr:row>18</xdr:row>
      <xdr:rowOff>0</xdr:rowOff>
    </xdr:from>
    <xdr:to>
      <xdr:col>1</xdr:col>
      <xdr:colOff>5915025</xdr:colOff>
      <xdr:row>18</xdr:row>
      <xdr:rowOff>38100</xdr:rowOff>
    </xdr:to>
    <xdr:sp macro="" textlink="">
      <xdr:nvSpPr>
        <xdr:cNvPr id="31" name="TextBox 30">
          <a:extLst>
            <a:ext uri="{FF2B5EF4-FFF2-40B4-BE49-F238E27FC236}">
              <a16:creationId xmlns:a16="http://schemas.microsoft.com/office/drawing/2014/main" id="{94653095-A0DF-417A-BA08-5AF8FAD45CBB}"/>
            </a:ext>
          </a:extLst>
        </xdr:cNvPr>
        <xdr:cNvSpPr txBox="1"/>
      </xdr:nvSpPr>
      <xdr:spPr>
        <a:xfrm>
          <a:off x="4059767" y="5597526"/>
          <a:ext cx="2003425" cy="2508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One-time costs  </a:t>
          </a:r>
        </a:p>
      </xdr:txBody>
    </xdr:sp>
    <xdr:clientData/>
  </xdr:twoCellAnchor>
  <xdr:twoCellAnchor>
    <xdr:from>
      <xdr:col>1</xdr:col>
      <xdr:colOff>11410950</xdr:colOff>
      <xdr:row>18</xdr:row>
      <xdr:rowOff>0</xdr:rowOff>
    </xdr:from>
    <xdr:to>
      <xdr:col>1</xdr:col>
      <xdr:colOff>13457425</xdr:colOff>
      <xdr:row>18</xdr:row>
      <xdr:rowOff>47625</xdr:rowOff>
    </xdr:to>
    <xdr:sp macro="" textlink="">
      <xdr:nvSpPr>
        <xdr:cNvPr id="33" name="TextBox 32">
          <a:extLst>
            <a:ext uri="{FF2B5EF4-FFF2-40B4-BE49-F238E27FC236}">
              <a16:creationId xmlns:a16="http://schemas.microsoft.com/office/drawing/2014/main" id="{DED05116-AE34-4922-B53C-C76CA1524FA4}"/>
            </a:ext>
          </a:extLst>
        </xdr:cNvPr>
        <xdr:cNvSpPr txBox="1"/>
      </xdr:nvSpPr>
      <xdr:spPr>
        <a:xfrm>
          <a:off x="11559117" y="5622928"/>
          <a:ext cx="2046475" cy="2349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Recurring costs</a:t>
          </a:r>
          <a:r>
            <a:rPr lang="en-US" sz="1100" b="1" baseline="0"/>
            <a:t> </a:t>
          </a:r>
          <a:endParaRPr lang="en-US" sz="1100" b="1"/>
        </a:p>
      </xdr:txBody>
    </xdr:sp>
    <xdr:clientData/>
  </xdr:twoCellAnchor>
  <xdr:twoCellAnchor>
    <xdr:from>
      <xdr:col>1</xdr:col>
      <xdr:colOff>262466</xdr:colOff>
      <xdr:row>14</xdr:row>
      <xdr:rowOff>31749</xdr:rowOff>
    </xdr:from>
    <xdr:to>
      <xdr:col>1</xdr:col>
      <xdr:colOff>14308666</xdr:colOff>
      <xdr:row>18</xdr:row>
      <xdr:rowOff>21166</xdr:rowOff>
    </xdr:to>
    <xdr:sp macro="" textlink="">
      <xdr:nvSpPr>
        <xdr:cNvPr id="37" name="Rounded Rectangle 18">
          <a:extLst>
            <a:ext uri="{FF2B5EF4-FFF2-40B4-BE49-F238E27FC236}">
              <a16:creationId xmlns:a16="http://schemas.microsoft.com/office/drawing/2014/main" id="{5DEABB39-35FC-4F62-8AD1-611E0DAD00D7}"/>
            </a:ext>
          </a:extLst>
        </xdr:cNvPr>
        <xdr:cNvSpPr/>
      </xdr:nvSpPr>
      <xdr:spPr>
        <a:xfrm>
          <a:off x="410633" y="6032499"/>
          <a:ext cx="14046200" cy="751417"/>
        </a:xfrm>
        <a:prstGeom prst="roundRect">
          <a:avLst/>
        </a:prstGeom>
        <a:solidFill>
          <a:srgbClr val="42536B"/>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ctr"/>
          <a:r>
            <a:rPr lang="en-US" sz="1400" b="1">
              <a:solidFill>
                <a:schemeClr val="bg1"/>
              </a:solidFill>
            </a:rPr>
            <a:t>Cybersecurity Costs</a:t>
          </a:r>
        </a:p>
        <a:p>
          <a:pPr algn="ctr"/>
          <a:r>
            <a:rPr lang="en-US" sz="1100" b="0">
              <a:solidFill>
                <a:schemeClr val="bg1"/>
              </a:solidFill>
            </a:rPr>
            <a:t>Costs associated with protecting the digital health intervention (and its operating envrionment) from cyber threats. </a:t>
          </a:r>
          <a:br>
            <a:rPr lang="en-US" sz="1100" b="0">
              <a:solidFill>
                <a:schemeClr val="bg1"/>
              </a:solidFill>
            </a:rPr>
          </a:br>
          <a:r>
            <a:rPr lang="en-US" sz="1100" b="0">
              <a:solidFill>
                <a:schemeClr val="bg1"/>
              </a:solidFill>
            </a:rPr>
            <a:t>These costs may include both one-time</a:t>
          </a:r>
          <a:r>
            <a:rPr lang="en-US" sz="1100" b="0" baseline="0">
              <a:solidFill>
                <a:schemeClr val="bg1"/>
              </a:solidFill>
            </a:rPr>
            <a:t> and recurring costs for personnel, contracted services, equipment, software, and other costs. </a:t>
          </a:r>
          <a:endParaRPr lang="en-US" sz="105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9</xdr:row>
      <xdr:rowOff>447675</xdr:rowOff>
    </xdr:from>
    <xdr:to>
      <xdr:col>5</xdr:col>
      <xdr:colOff>2828925</xdr:colOff>
      <xdr:row>9</xdr:row>
      <xdr:rowOff>600075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C43BD35-7A04-6C40-ABC8-0622EF808EA7}"/>
            </a:ext>
          </a:extLst>
        </xdr:cNvPr>
        <xdr:cNvSpPr/>
      </xdr:nvSpPr>
      <xdr:spPr>
        <a:xfrm>
          <a:off x="14503400" y="4905375"/>
          <a:ext cx="2828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28574</xdr:colOff>
      <xdr:row>9</xdr:row>
      <xdr:rowOff>628650</xdr:rowOff>
    </xdr:from>
    <xdr:to>
      <xdr:col>5</xdr:col>
      <xdr:colOff>2838449</xdr:colOff>
      <xdr:row>9</xdr:row>
      <xdr:rowOff>971550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CF0B59DF-0D24-664B-8A8F-A27ACE7E1FE2}"/>
            </a:ext>
          </a:extLst>
        </xdr:cNvPr>
        <xdr:cNvSpPr/>
      </xdr:nvSpPr>
      <xdr:spPr>
        <a:xfrm>
          <a:off x="14531974" y="5086350"/>
          <a:ext cx="2809875"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xdr:colOff>
      <xdr:row>9</xdr:row>
      <xdr:rowOff>971550</xdr:rowOff>
    </xdr:from>
    <xdr:to>
      <xdr:col>5</xdr:col>
      <xdr:colOff>2952750</xdr:colOff>
      <xdr:row>10</xdr:row>
      <xdr:rowOff>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FDE17624-B221-614C-8FE4-ABB96A3FEC86}"/>
            </a:ext>
          </a:extLst>
        </xdr:cNvPr>
        <xdr:cNvSpPr/>
      </xdr:nvSpPr>
      <xdr:spPr>
        <a:xfrm>
          <a:off x="14531975" y="5429250"/>
          <a:ext cx="29241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10</xdr:row>
      <xdr:rowOff>447675</xdr:rowOff>
    </xdr:from>
    <xdr:to>
      <xdr:col>5</xdr:col>
      <xdr:colOff>2828925</xdr:colOff>
      <xdr:row>10</xdr:row>
      <xdr:rowOff>600075</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765C38F9-A3D7-DC40-BE56-80EEEBA81992}"/>
            </a:ext>
          </a:extLst>
        </xdr:cNvPr>
        <xdr:cNvSpPr/>
      </xdr:nvSpPr>
      <xdr:spPr>
        <a:xfrm>
          <a:off x="14503400" y="6124575"/>
          <a:ext cx="2828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28574</xdr:colOff>
      <xdr:row>10</xdr:row>
      <xdr:rowOff>628650</xdr:rowOff>
    </xdr:from>
    <xdr:to>
      <xdr:col>5</xdr:col>
      <xdr:colOff>2838449</xdr:colOff>
      <xdr:row>10</xdr:row>
      <xdr:rowOff>971550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CC8F23BE-1213-244D-AEC5-BDC5AB6F27D6}"/>
            </a:ext>
          </a:extLst>
        </xdr:cNvPr>
        <xdr:cNvSpPr/>
      </xdr:nvSpPr>
      <xdr:spPr>
        <a:xfrm>
          <a:off x="14531974" y="6280150"/>
          <a:ext cx="28098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xdr:colOff>
      <xdr:row>10</xdr:row>
      <xdr:rowOff>971550</xdr:rowOff>
    </xdr:from>
    <xdr:to>
      <xdr:col>5</xdr:col>
      <xdr:colOff>2952750</xdr:colOff>
      <xdr:row>11</xdr:row>
      <xdr:rowOff>0</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3D505FDC-5B22-9547-95E4-3639813FCD40}"/>
            </a:ext>
          </a:extLst>
        </xdr:cNvPr>
        <xdr:cNvSpPr/>
      </xdr:nvSpPr>
      <xdr:spPr>
        <a:xfrm>
          <a:off x="14531975" y="6280150"/>
          <a:ext cx="292417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xdr:colOff>
      <xdr:row>10</xdr:row>
      <xdr:rowOff>387350</xdr:rowOff>
    </xdr:from>
    <xdr:to>
      <xdr:col>5</xdr:col>
      <xdr:colOff>2901950</xdr:colOff>
      <xdr:row>11</xdr:row>
      <xdr:rowOff>15875</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CA61A526-34E9-E946-BD23-F350FF14E5A8}"/>
            </a:ext>
          </a:extLst>
        </xdr:cNvPr>
        <xdr:cNvSpPr/>
      </xdr:nvSpPr>
      <xdr:spPr>
        <a:xfrm>
          <a:off x="14512925" y="6064250"/>
          <a:ext cx="28924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xdr:colOff>
      <xdr:row>10</xdr:row>
      <xdr:rowOff>38099</xdr:rowOff>
    </xdr:from>
    <xdr:to>
      <xdr:col>5</xdr:col>
      <xdr:colOff>2952750</xdr:colOff>
      <xdr:row>10</xdr:row>
      <xdr:rowOff>393699</xdr:rowOff>
    </xdr:to>
    <xdr:sp macro="" textlink="">
      <xdr:nvSpPr>
        <xdr:cNvPr id="9" name="Rectangle 8">
          <a:hlinkClick xmlns:r="http://schemas.openxmlformats.org/officeDocument/2006/relationships" r:id="rId2"/>
          <a:extLst>
            <a:ext uri="{FF2B5EF4-FFF2-40B4-BE49-F238E27FC236}">
              <a16:creationId xmlns:a16="http://schemas.microsoft.com/office/drawing/2014/main" id="{F52C716E-1A61-424D-B2E3-D18F3440A3B8}"/>
            </a:ext>
          </a:extLst>
        </xdr:cNvPr>
        <xdr:cNvSpPr/>
      </xdr:nvSpPr>
      <xdr:spPr>
        <a:xfrm>
          <a:off x="14531975" y="5714999"/>
          <a:ext cx="2924175" cy="355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6350</xdr:colOff>
      <xdr:row>14</xdr:row>
      <xdr:rowOff>1473201</xdr:rowOff>
    </xdr:from>
    <xdr:to>
      <xdr:col>5</xdr:col>
      <xdr:colOff>2905125</xdr:colOff>
      <xdr:row>15</xdr:row>
      <xdr:rowOff>0</xdr:rowOff>
    </xdr:to>
    <xdr:sp macro="" textlink="">
      <xdr:nvSpPr>
        <xdr:cNvPr id="10" name="Rectangle 9">
          <a:hlinkClick xmlns:r="http://schemas.openxmlformats.org/officeDocument/2006/relationships" r:id="rId3"/>
          <a:extLst>
            <a:ext uri="{FF2B5EF4-FFF2-40B4-BE49-F238E27FC236}">
              <a16:creationId xmlns:a16="http://schemas.microsoft.com/office/drawing/2014/main" id="{08BCDCCD-DB63-2D44-AA25-45A8B23125F8}"/>
            </a:ext>
          </a:extLst>
        </xdr:cNvPr>
        <xdr:cNvSpPr/>
      </xdr:nvSpPr>
      <xdr:spPr>
        <a:xfrm>
          <a:off x="14509750" y="9169401"/>
          <a:ext cx="2898775" cy="3555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14</xdr:row>
      <xdr:rowOff>1108074</xdr:rowOff>
    </xdr:from>
    <xdr:to>
      <xdr:col>5</xdr:col>
      <xdr:colOff>2911475</xdr:colOff>
      <xdr:row>14</xdr:row>
      <xdr:rowOff>1457324</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3F324A94-14ED-4D4D-A758-A43EEDB1DA70}"/>
            </a:ext>
          </a:extLst>
        </xdr:cNvPr>
        <xdr:cNvSpPr/>
      </xdr:nvSpPr>
      <xdr:spPr>
        <a:xfrm>
          <a:off x="14503400" y="8804274"/>
          <a:ext cx="2911475" cy="349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13</xdr:row>
      <xdr:rowOff>447675</xdr:rowOff>
    </xdr:from>
    <xdr:to>
      <xdr:col>5</xdr:col>
      <xdr:colOff>2828925</xdr:colOff>
      <xdr:row>13</xdr:row>
      <xdr:rowOff>600075</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AE5375E-30CA-BA40-A1F2-8662F18DFD90}"/>
            </a:ext>
          </a:extLst>
        </xdr:cNvPr>
        <xdr:cNvSpPr/>
      </xdr:nvSpPr>
      <xdr:spPr>
        <a:xfrm>
          <a:off x="14503400" y="7127875"/>
          <a:ext cx="2828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xdr:colOff>
      <xdr:row>13</xdr:row>
      <xdr:rowOff>387351</xdr:rowOff>
    </xdr:from>
    <xdr:to>
      <xdr:col>5</xdr:col>
      <xdr:colOff>2901950</xdr:colOff>
      <xdr:row>13</xdr:row>
      <xdr:rowOff>723901</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8774D4C6-E16E-9F41-A153-D32B4464BB88}"/>
            </a:ext>
          </a:extLst>
        </xdr:cNvPr>
        <xdr:cNvSpPr/>
      </xdr:nvSpPr>
      <xdr:spPr>
        <a:xfrm>
          <a:off x="14512925" y="7067551"/>
          <a:ext cx="2892425" cy="336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xdr:colOff>
      <xdr:row>13</xdr:row>
      <xdr:rowOff>380999</xdr:rowOff>
    </xdr:from>
    <xdr:to>
      <xdr:col>5</xdr:col>
      <xdr:colOff>2933700</xdr:colOff>
      <xdr:row>13</xdr:row>
      <xdr:rowOff>736599</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ACDAC42D-A836-6C4C-90FD-AC945428D50A}"/>
            </a:ext>
          </a:extLst>
        </xdr:cNvPr>
        <xdr:cNvSpPr/>
      </xdr:nvSpPr>
      <xdr:spPr>
        <a:xfrm>
          <a:off x="14512925" y="7061199"/>
          <a:ext cx="2924175" cy="355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19050</xdr:colOff>
      <xdr:row>13</xdr:row>
      <xdr:rowOff>749300</xdr:rowOff>
    </xdr:from>
    <xdr:to>
      <xdr:col>5</xdr:col>
      <xdr:colOff>2911475</xdr:colOff>
      <xdr:row>14</xdr:row>
      <xdr:rowOff>0</xdr:rowOff>
    </xdr:to>
    <xdr:sp macro="" textlink="">
      <xdr:nvSpPr>
        <xdr:cNvPr id="15" name="Rectangle 14">
          <a:hlinkClick xmlns:r="http://schemas.openxmlformats.org/officeDocument/2006/relationships" r:id="rId3"/>
          <a:extLst>
            <a:ext uri="{FF2B5EF4-FFF2-40B4-BE49-F238E27FC236}">
              <a16:creationId xmlns:a16="http://schemas.microsoft.com/office/drawing/2014/main" id="{0BABEABC-8520-D94B-919C-15BF970D0C41}"/>
            </a:ext>
          </a:extLst>
        </xdr:cNvPr>
        <xdr:cNvSpPr/>
      </xdr:nvSpPr>
      <xdr:spPr>
        <a:xfrm>
          <a:off x="14522450" y="7429500"/>
          <a:ext cx="289242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18</xdr:row>
      <xdr:rowOff>234950</xdr:rowOff>
    </xdr:from>
    <xdr:to>
      <xdr:col>5</xdr:col>
      <xdr:colOff>2828925</xdr:colOff>
      <xdr:row>18</xdr:row>
      <xdr:rowOff>387350</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C5516C4E-3072-604E-88EF-269219CD4572}"/>
            </a:ext>
          </a:extLst>
        </xdr:cNvPr>
        <xdr:cNvSpPr/>
      </xdr:nvSpPr>
      <xdr:spPr>
        <a:xfrm>
          <a:off x="14503400" y="10534650"/>
          <a:ext cx="2828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3174</xdr:colOff>
      <xdr:row>18</xdr:row>
      <xdr:rowOff>415925</xdr:rowOff>
    </xdr:from>
    <xdr:to>
      <xdr:col>5</xdr:col>
      <xdr:colOff>2813049</xdr:colOff>
      <xdr:row>18</xdr:row>
      <xdr:rowOff>714375</xdr:rowOff>
    </xdr:to>
    <xdr:sp macro="" textlink="">
      <xdr:nvSpPr>
        <xdr:cNvPr id="17" name="Rectangle 16">
          <a:hlinkClick xmlns:r="http://schemas.openxmlformats.org/officeDocument/2006/relationships" r:id="rId2"/>
          <a:extLst>
            <a:ext uri="{FF2B5EF4-FFF2-40B4-BE49-F238E27FC236}">
              <a16:creationId xmlns:a16="http://schemas.microsoft.com/office/drawing/2014/main" id="{01B62B1A-2558-4647-9354-E26CC40E3142}"/>
            </a:ext>
          </a:extLst>
        </xdr:cNvPr>
        <xdr:cNvSpPr/>
      </xdr:nvSpPr>
      <xdr:spPr>
        <a:xfrm>
          <a:off x="14506574" y="10715625"/>
          <a:ext cx="2809875" cy="298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xdr:colOff>
      <xdr:row>18</xdr:row>
      <xdr:rowOff>752475</xdr:rowOff>
    </xdr:from>
    <xdr:to>
      <xdr:col>5</xdr:col>
      <xdr:colOff>2952750</xdr:colOff>
      <xdr:row>19</xdr:row>
      <xdr:rowOff>0</xdr:rowOff>
    </xdr:to>
    <xdr:sp macro="" textlink="">
      <xdr:nvSpPr>
        <xdr:cNvPr id="18" name="Rectangle 17">
          <a:hlinkClick xmlns:r="http://schemas.openxmlformats.org/officeDocument/2006/relationships" r:id="rId3"/>
          <a:extLst>
            <a:ext uri="{FF2B5EF4-FFF2-40B4-BE49-F238E27FC236}">
              <a16:creationId xmlns:a16="http://schemas.microsoft.com/office/drawing/2014/main" id="{7D7526A0-A1B5-B647-AABF-AA33A6782E0E}"/>
            </a:ext>
          </a:extLst>
        </xdr:cNvPr>
        <xdr:cNvSpPr/>
      </xdr:nvSpPr>
      <xdr:spPr>
        <a:xfrm flipV="1">
          <a:off x="14531975" y="11052175"/>
          <a:ext cx="2924175" cy="60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19</xdr:row>
      <xdr:rowOff>447675</xdr:rowOff>
    </xdr:from>
    <xdr:to>
      <xdr:col>5</xdr:col>
      <xdr:colOff>2828925</xdr:colOff>
      <xdr:row>19</xdr:row>
      <xdr:rowOff>600075</xdr:rowOff>
    </xdr:to>
    <xdr:sp macro="" textlink="">
      <xdr:nvSpPr>
        <xdr:cNvPr id="19" name="Rectangle 18">
          <a:hlinkClick xmlns:r="http://schemas.openxmlformats.org/officeDocument/2006/relationships" r:id="rId1"/>
          <a:extLst>
            <a:ext uri="{FF2B5EF4-FFF2-40B4-BE49-F238E27FC236}">
              <a16:creationId xmlns:a16="http://schemas.microsoft.com/office/drawing/2014/main" id="{4D049557-604A-C54E-AE7B-E022E015CDE5}"/>
            </a:ext>
          </a:extLst>
        </xdr:cNvPr>
        <xdr:cNvSpPr/>
      </xdr:nvSpPr>
      <xdr:spPr>
        <a:xfrm>
          <a:off x="14503400" y="11560175"/>
          <a:ext cx="2828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xdr:colOff>
      <xdr:row>19</xdr:row>
      <xdr:rowOff>387351</xdr:rowOff>
    </xdr:from>
    <xdr:to>
      <xdr:col>5</xdr:col>
      <xdr:colOff>2901950</xdr:colOff>
      <xdr:row>19</xdr:row>
      <xdr:rowOff>723901</xdr:rowOff>
    </xdr:to>
    <xdr:sp macro="" textlink="">
      <xdr:nvSpPr>
        <xdr:cNvPr id="20" name="Rectangle 19">
          <a:hlinkClick xmlns:r="http://schemas.openxmlformats.org/officeDocument/2006/relationships" r:id="rId3"/>
          <a:extLst>
            <a:ext uri="{FF2B5EF4-FFF2-40B4-BE49-F238E27FC236}">
              <a16:creationId xmlns:a16="http://schemas.microsoft.com/office/drawing/2014/main" id="{856A4A2B-C189-DA4B-B4CD-FA1DF2CBE5CB}"/>
            </a:ext>
          </a:extLst>
        </xdr:cNvPr>
        <xdr:cNvSpPr/>
      </xdr:nvSpPr>
      <xdr:spPr>
        <a:xfrm>
          <a:off x="14512925" y="11499851"/>
          <a:ext cx="2892425" cy="222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19</xdr:row>
      <xdr:rowOff>12698</xdr:rowOff>
    </xdr:from>
    <xdr:to>
      <xdr:col>5</xdr:col>
      <xdr:colOff>2914650</xdr:colOff>
      <xdr:row>19</xdr:row>
      <xdr:rowOff>380999</xdr:rowOff>
    </xdr:to>
    <xdr:sp macro="" textlink="">
      <xdr:nvSpPr>
        <xdr:cNvPr id="21" name="Rectangle 20">
          <a:hlinkClick xmlns:r="http://schemas.openxmlformats.org/officeDocument/2006/relationships" r:id="rId2"/>
          <a:extLst>
            <a:ext uri="{FF2B5EF4-FFF2-40B4-BE49-F238E27FC236}">
              <a16:creationId xmlns:a16="http://schemas.microsoft.com/office/drawing/2014/main" id="{F2B20120-C1CA-C94F-B731-2E8E3AA9BAAF}"/>
            </a:ext>
          </a:extLst>
        </xdr:cNvPr>
        <xdr:cNvSpPr/>
      </xdr:nvSpPr>
      <xdr:spPr>
        <a:xfrm>
          <a:off x="14503400" y="11125198"/>
          <a:ext cx="291465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19050</xdr:colOff>
      <xdr:row>19</xdr:row>
      <xdr:rowOff>749300</xdr:rowOff>
    </xdr:from>
    <xdr:to>
      <xdr:col>5</xdr:col>
      <xdr:colOff>2911475</xdr:colOff>
      <xdr:row>20</xdr:row>
      <xdr:rowOff>25400</xdr:rowOff>
    </xdr:to>
    <xdr:sp macro="" textlink="">
      <xdr:nvSpPr>
        <xdr:cNvPr id="22" name="Rectangle 21">
          <a:hlinkClick xmlns:r="http://schemas.openxmlformats.org/officeDocument/2006/relationships" r:id="rId3"/>
          <a:extLst>
            <a:ext uri="{FF2B5EF4-FFF2-40B4-BE49-F238E27FC236}">
              <a16:creationId xmlns:a16="http://schemas.microsoft.com/office/drawing/2014/main" id="{38C58CDF-F039-934F-8136-DE9F39ED6210}"/>
            </a:ext>
          </a:extLst>
        </xdr:cNvPr>
        <xdr:cNvSpPr/>
      </xdr:nvSpPr>
      <xdr:spPr>
        <a:xfrm>
          <a:off x="14522450" y="11722100"/>
          <a:ext cx="2892425" cy="25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25</xdr:row>
      <xdr:rowOff>234950</xdr:rowOff>
    </xdr:from>
    <xdr:to>
      <xdr:col>5</xdr:col>
      <xdr:colOff>2828925</xdr:colOff>
      <xdr:row>25</xdr:row>
      <xdr:rowOff>387350</xdr:rowOff>
    </xdr:to>
    <xdr:sp macro="" textlink="">
      <xdr:nvSpPr>
        <xdr:cNvPr id="23" name="Rectangle 22">
          <a:hlinkClick xmlns:r="http://schemas.openxmlformats.org/officeDocument/2006/relationships" r:id="rId1"/>
          <a:extLst>
            <a:ext uri="{FF2B5EF4-FFF2-40B4-BE49-F238E27FC236}">
              <a16:creationId xmlns:a16="http://schemas.microsoft.com/office/drawing/2014/main" id="{0CA13733-FCBD-6948-B3FC-F2441D5485E1}"/>
            </a:ext>
          </a:extLst>
        </xdr:cNvPr>
        <xdr:cNvSpPr/>
      </xdr:nvSpPr>
      <xdr:spPr>
        <a:xfrm>
          <a:off x="14503400" y="13531850"/>
          <a:ext cx="2828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3174</xdr:colOff>
      <xdr:row>25</xdr:row>
      <xdr:rowOff>415925</xdr:rowOff>
    </xdr:from>
    <xdr:to>
      <xdr:col>5</xdr:col>
      <xdr:colOff>2813049</xdr:colOff>
      <xdr:row>25</xdr:row>
      <xdr:rowOff>714375</xdr:rowOff>
    </xdr:to>
    <xdr:sp macro="" textlink="">
      <xdr:nvSpPr>
        <xdr:cNvPr id="24" name="Rectangle 23">
          <a:hlinkClick xmlns:r="http://schemas.openxmlformats.org/officeDocument/2006/relationships" r:id="rId2"/>
          <a:extLst>
            <a:ext uri="{FF2B5EF4-FFF2-40B4-BE49-F238E27FC236}">
              <a16:creationId xmlns:a16="http://schemas.microsoft.com/office/drawing/2014/main" id="{99A9617D-AE18-4245-BA17-23EB2AD80A17}"/>
            </a:ext>
          </a:extLst>
        </xdr:cNvPr>
        <xdr:cNvSpPr/>
      </xdr:nvSpPr>
      <xdr:spPr>
        <a:xfrm>
          <a:off x="14506574" y="13712825"/>
          <a:ext cx="2809875" cy="298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xdr:colOff>
      <xdr:row>25</xdr:row>
      <xdr:rowOff>752475</xdr:rowOff>
    </xdr:from>
    <xdr:to>
      <xdr:col>5</xdr:col>
      <xdr:colOff>2952750</xdr:colOff>
      <xdr:row>26</xdr:row>
      <xdr:rowOff>0</xdr:rowOff>
    </xdr:to>
    <xdr:sp macro="" textlink="">
      <xdr:nvSpPr>
        <xdr:cNvPr id="25" name="Rectangle 24">
          <a:hlinkClick xmlns:r="http://schemas.openxmlformats.org/officeDocument/2006/relationships" r:id="rId3"/>
          <a:extLst>
            <a:ext uri="{FF2B5EF4-FFF2-40B4-BE49-F238E27FC236}">
              <a16:creationId xmlns:a16="http://schemas.microsoft.com/office/drawing/2014/main" id="{74C35F54-5551-8A45-9C8D-08C627DD0FFA}"/>
            </a:ext>
          </a:extLst>
        </xdr:cNvPr>
        <xdr:cNvSpPr/>
      </xdr:nvSpPr>
      <xdr:spPr>
        <a:xfrm flipV="1">
          <a:off x="14531975" y="14049375"/>
          <a:ext cx="2924175" cy="60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26</xdr:row>
      <xdr:rowOff>447675</xdr:rowOff>
    </xdr:from>
    <xdr:to>
      <xdr:col>5</xdr:col>
      <xdr:colOff>2828925</xdr:colOff>
      <xdr:row>26</xdr:row>
      <xdr:rowOff>600075</xdr:rowOff>
    </xdr:to>
    <xdr:sp macro="" textlink="">
      <xdr:nvSpPr>
        <xdr:cNvPr id="26" name="Rectangle 25">
          <a:hlinkClick xmlns:r="http://schemas.openxmlformats.org/officeDocument/2006/relationships" r:id="rId1"/>
          <a:extLst>
            <a:ext uri="{FF2B5EF4-FFF2-40B4-BE49-F238E27FC236}">
              <a16:creationId xmlns:a16="http://schemas.microsoft.com/office/drawing/2014/main" id="{A831577E-A649-C44B-803E-2A1F541F41A9}"/>
            </a:ext>
          </a:extLst>
        </xdr:cNvPr>
        <xdr:cNvSpPr/>
      </xdr:nvSpPr>
      <xdr:spPr>
        <a:xfrm>
          <a:off x="14503400" y="14557375"/>
          <a:ext cx="2828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xdr:colOff>
      <xdr:row>26</xdr:row>
      <xdr:rowOff>387351</xdr:rowOff>
    </xdr:from>
    <xdr:to>
      <xdr:col>5</xdr:col>
      <xdr:colOff>2901950</xdr:colOff>
      <xdr:row>26</xdr:row>
      <xdr:rowOff>723901</xdr:rowOff>
    </xdr:to>
    <xdr:sp macro="" textlink="">
      <xdr:nvSpPr>
        <xdr:cNvPr id="27" name="Rectangle 26">
          <a:hlinkClick xmlns:r="http://schemas.openxmlformats.org/officeDocument/2006/relationships" r:id="rId3"/>
          <a:extLst>
            <a:ext uri="{FF2B5EF4-FFF2-40B4-BE49-F238E27FC236}">
              <a16:creationId xmlns:a16="http://schemas.microsoft.com/office/drawing/2014/main" id="{F563A0C5-701E-D448-8417-1D1B4666AD66}"/>
            </a:ext>
          </a:extLst>
        </xdr:cNvPr>
        <xdr:cNvSpPr/>
      </xdr:nvSpPr>
      <xdr:spPr>
        <a:xfrm>
          <a:off x="14512925" y="14497051"/>
          <a:ext cx="2892425" cy="336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26</xdr:row>
      <xdr:rowOff>12698</xdr:rowOff>
    </xdr:from>
    <xdr:to>
      <xdr:col>5</xdr:col>
      <xdr:colOff>2914650</xdr:colOff>
      <xdr:row>26</xdr:row>
      <xdr:rowOff>380999</xdr:rowOff>
    </xdr:to>
    <xdr:sp macro="" textlink="">
      <xdr:nvSpPr>
        <xdr:cNvPr id="28" name="Rectangle 27">
          <a:hlinkClick xmlns:r="http://schemas.openxmlformats.org/officeDocument/2006/relationships" r:id="rId2"/>
          <a:extLst>
            <a:ext uri="{FF2B5EF4-FFF2-40B4-BE49-F238E27FC236}">
              <a16:creationId xmlns:a16="http://schemas.microsoft.com/office/drawing/2014/main" id="{0E5C9B26-21BE-7348-BA87-5CFFBCDBD5AA}"/>
            </a:ext>
          </a:extLst>
        </xdr:cNvPr>
        <xdr:cNvSpPr/>
      </xdr:nvSpPr>
      <xdr:spPr>
        <a:xfrm>
          <a:off x="14503400" y="14122398"/>
          <a:ext cx="291465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7</xdr:row>
      <xdr:rowOff>447675</xdr:rowOff>
    </xdr:from>
    <xdr:to>
      <xdr:col>5</xdr:col>
      <xdr:colOff>2828925</xdr:colOff>
      <xdr:row>7</xdr:row>
      <xdr:rowOff>600075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286F094-94E8-A84A-97C2-044E531C03C8}"/>
            </a:ext>
          </a:extLst>
        </xdr:cNvPr>
        <xdr:cNvSpPr/>
      </xdr:nvSpPr>
      <xdr:spPr>
        <a:xfrm>
          <a:off x="15544800" y="8969375"/>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xdr:colOff>
      <xdr:row>7</xdr:row>
      <xdr:rowOff>387351</xdr:rowOff>
    </xdr:from>
    <xdr:to>
      <xdr:col>5</xdr:col>
      <xdr:colOff>2901950</xdr:colOff>
      <xdr:row>7</xdr:row>
      <xdr:rowOff>723901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939B758A-B013-7141-A9C3-4C2DFEDC1DBC}"/>
            </a:ext>
          </a:extLst>
        </xdr:cNvPr>
        <xdr:cNvSpPr/>
      </xdr:nvSpPr>
      <xdr:spPr>
        <a:xfrm>
          <a:off x="15554325" y="8959851"/>
          <a:ext cx="289242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7</xdr:row>
      <xdr:rowOff>12698</xdr:rowOff>
    </xdr:from>
    <xdr:to>
      <xdr:col>5</xdr:col>
      <xdr:colOff>2914650</xdr:colOff>
      <xdr:row>7</xdr:row>
      <xdr:rowOff>380999</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E9B3BDEB-00EA-9B46-A87D-D3A86251C7F3}"/>
            </a:ext>
          </a:extLst>
        </xdr:cNvPr>
        <xdr:cNvSpPr/>
      </xdr:nvSpPr>
      <xdr:spPr>
        <a:xfrm>
          <a:off x="15376525" y="8788398"/>
          <a:ext cx="3082925" cy="1778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9</xdr:row>
      <xdr:rowOff>447675</xdr:rowOff>
    </xdr:from>
    <xdr:to>
      <xdr:col>5</xdr:col>
      <xdr:colOff>2828925</xdr:colOff>
      <xdr:row>9</xdr:row>
      <xdr:rowOff>600075</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19C96D5C-280E-A941-ACC5-75ED9D440AF4}"/>
            </a:ext>
          </a:extLst>
        </xdr:cNvPr>
        <xdr:cNvSpPr/>
      </xdr:nvSpPr>
      <xdr:spPr>
        <a:xfrm>
          <a:off x="15544800" y="9350375"/>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15875</xdr:colOff>
      <xdr:row>9</xdr:row>
      <xdr:rowOff>38101</xdr:rowOff>
    </xdr:from>
    <xdr:to>
      <xdr:col>5</xdr:col>
      <xdr:colOff>2914650</xdr:colOff>
      <xdr:row>9</xdr:row>
      <xdr:rowOff>200026</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D86EE0A7-4D2C-ED47-81B8-2820F756A1CC}"/>
            </a:ext>
          </a:extLst>
        </xdr:cNvPr>
        <xdr:cNvSpPr/>
      </xdr:nvSpPr>
      <xdr:spPr>
        <a:xfrm>
          <a:off x="15560675" y="9194801"/>
          <a:ext cx="2898775" cy="149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19050</xdr:colOff>
      <xdr:row>9</xdr:row>
      <xdr:rowOff>206375</xdr:rowOff>
    </xdr:from>
    <xdr:to>
      <xdr:col>5</xdr:col>
      <xdr:colOff>2914650</xdr:colOff>
      <xdr:row>10</xdr:row>
      <xdr:rowOff>19050</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72FFEF49-79E9-7B48-B2C9-491915702C23}"/>
            </a:ext>
          </a:extLst>
        </xdr:cNvPr>
        <xdr:cNvSpPr/>
      </xdr:nvSpPr>
      <xdr:spPr>
        <a:xfrm>
          <a:off x="15563850" y="9350375"/>
          <a:ext cx="2895600" cy="15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49</xdr:row>
      <xdr:rowOff>447675</xdr:rowOff>
    </xdr:from>
    <xdr:to>
      <xdr:col>5</xdr:col>
      <xdr:colOff>2828925</xdr:colOff>
      <xdr:row>49</xdr:row>
      <xdr:rowOff>600075</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F639F85E-0E50-9B40-BC76-9803CAB522C1}"/>
            </a:ext>
          </a:extLst>
        </xdr:cNvPr>
        <xdr:cNvSpPr/>
      </xdr:nvSpPr>
      <xdr:spPr>
        <a:xfrm>
          <a:off x="15544800" y="13160375"/>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xdr:colOff>
      <xdr:row>49</xdr:row>
      <xdr:rowOff>387351</xdr:rowOff>
    </xdr:from>
    <xdr:to>
      <xdr:col>5</xdr:col>
      <xdr:colOff>2901950</xdr:colOff>
      <xdr:row>49</xdr:row>
      <xdr:rowOff>723901</xdr:rowOff>
    </xdr:to>
    <xdr:sp macro="" textlink="">
      <xdr:nvSpPr>
        <xdr:cNvPr id="9" name="Rectangle 8">
          <a:hlinkClick xmlns:r="http://schemas.openxmlformats.org/officeDocument/2006/relationships" r:id="rId2"/>
          <a:extLst>
            <a:ext uri="{FF2B5EF4-FFF2-40B4-BE49-F238E27FC236}">
              <a16:creationId xmlns:a16="http://schemas.microsoft.com/office/drawing/2014/main" id="{7916CBBC-FE42-4B48-8656-4C611BE872D1}"/>
            </a:ext>
          </a:extLst>
        </xdr:cNvPr>
        <xdr:cNvSpPr/>
      </xdr:nvSpPr>
      <xdr:spPr>
        <a:xfrm>
          <a:off x="15554325" y="13150851"/>
          <a:ext cx="289242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49</xdr:row>
      <xdr:rowOff>12698</xdr:rowOff>
    </xdr:from>
    <xdr:to>
      <xdr:col>5</xdr:col>
      <xdr:colOff>2914650</xdr:colOff>
      <xdr:row>49</xdr:row>
      <xdr:rowOff>380999</xdr:rowOff>
    </xdr:to>
    <xdr:sp macro="" textlink="">
      <xdr:nvSpPr>
        <xdr:cNvPr id="10" name="Rectangle 9">
          <a:hlinkClick xmlns:r="http://schemas.openxmlformats.org/officeDocument/2006/relationships" r:id="rId3"/>
          <a:extLst>
            <a:ext uri="{FF2B5EF4-FFF2-40B4-BE49-F238E27FC236}">
              <a16:creationId xmlns:a16="http://schemas.microsoft.com/office/drawing/2014/main" id="{5D7767D0-583E-4A47-8FB2-85AEEEE36F07}"/>
            </a:ext>
          </a:extLst>
        </xdr:cNvPr>
        <xdr:cNvSpPr/>
      </xdr:nvSpPr>
      <xdr:spPr>
        <a:xfrm>
          <a:off x="15376525" y="12979398"/>
          <a:ext cx="3082925" cy="1778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67</xdr:row>
      <xdr:rowOff>447675</xdr:rowOff>
    </xdr:from>
    <xdr:to>
      <xdr:col>5</xdr:col>
      <xdr:colOff>2828925</xdr:colOff>
      <xdr:row>67</xdr:row>
      <xdr:rowOff>600075</xdr:rowOff>
    </xdr:to>
    <xdr:sp macro="" textlink="">
      <xdr:nvSpPr>
        <xdr:cNvPr id="14" name="Rectangle 13">
          <a:hlinkClick xmlns:r="http://schemas.openxmlformats.org/officeDocument/2006/relationships" r:id="rId1"/>
          <a:extLst>
            <a:ext uri="{FF2B5EF4-FFF2-40B4-BE49-F238E27FC236}">
              <a16:creationId xmlns:a16="http://schemas.microsoft.com/office/drawing/2014/main" id="{6F4550E4-F7A8-364F-A7B3-6AA32B3D88F3}"/>
            </a:ext>
          </a:extLst>
        </xdr:cNvPr>
        <xdr:cNvSpPr/>
      </xdr:nvSpPr>
      <xdr:spPr>
        <a:xfrm>
          <a:off x="15544800" y="16589375"/>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xdr:colOff>
      <xdr:row>67</xdr:row>
      <xdr:rowOff>387351</xdr:rowOff>
    </xdr:from>
    <xdr:to>
      <xdr:col>5</xdr:col>
      <xdr:colOff>2901950</xdr:colOff>
      <xdr:row>67</xdr:row>
      <xdr:rowOff>723901</xdr:rowOff>
    </xdr:to>
    <xdr:sp macro="" textlink="">
      <xdr:nvSpPr>
        <xdr:cNvPr id="15" name="Rectangle 14">
          <a:hlinkClick xmlns:r="http://schemas.openxmlformats.org/officeDocument/2006/relationships" r:id="rId2"/>
          <a:extLst>
            <a:ext uri="{FF2B5EF4-FFF2-40B4-BE49-F238E27FC236}">
              <a16:creationId xmlns:a16="http://schemas.microsoft.com/office/drawing/2014/main" id="{1B61CCC3-22BA-9547-B6FA-62BD24D9044B}"/>
            </a:ext>
          </a:extLst>
        </xdr:cNvPr>
        <xdr:cNvSpPr/>
      </xdr:nvSpPr>
      <xdr:spPr>
        <a:xfrm>
          <a:off x="15554325" y="16579851"/>
          <a:ext cx="289242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67</xdr:row>
      <xdr:rowOff>12698</xdr:rowOff>
    </xdr:from>
    <xdr:to>
      <xdr:col>5</xdr:col>
      <xdr:colOff>2914650</xdr:colOff>
      <xdr:row>67</xdr:row>
      <xdr:rowOff>380999</xdr:rowOff>
    </xdr:to>
    <xdr:sp macro="" textlink="">
      <xdr:nvSpPr>
        <xdr:cNvPr id="16" name="Rectangle 15">
          <a:hlinkClick xmlns:r="http://schemas.openxmlformats.org/officeDocument/2006/relationships" r:id="rId3"/>
          <a:extLst>
            <a:ext uri="{FF2B5EF4-FFF2-40B4-BE49-F238E27FC236}">
              <a16:creationId xmlns:a16="http://schemas.microsoft.com/office/drawing/2014/main" id="{1CD5A3D7-03AD-014F-9C80-E5DBCF76E769}"/>
            </a:ext>
          </a:extLst>
        </xdr:cNvPr>
        <xdr:cNvSpPr/>
      </xdr:nvSpPr>
      <xdr:spPr>
        <a:xfrm>
          <a:off x="15376525" y="16408398"/>
          <a:ext cx="3082925" cy="1778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110</xdr:row>
      <xdr:rowOff>447675</xdr:rowOff>
    </xdr:from>
    <xdr:to>
      <xdr:col>5</xdr:col>
      <xdr:colOff>2828925</xdr:colOff>
      <xdr:row>110</xdr:row>
      <xdr:rowOff>600075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7776588-9F0E-814E-9BAC-34DD056EAE67}"/>
            </a:ext>
          </a:extLst>
        </xdr:cNvPr>
        <xdr:cNvSpPr/>
      </xdr:nvSpPr>
      <xdr:spPr>
        <a:xfrm>
          <a:off x="15544800" y="12207875"/>
          <a:ext cx="282892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xdr:colOff>
      <xdr:row>110</xdr:row>
      <xdr:rowOff>387351</xdr:rowOff>
    </xdr:from>
    <xdr:to>
      <xdr:col>5</xdr:col>
      <xdr:colOff>2901950</xdr:colOff>
      <xdr:row>110</xdr:row>
      <xdr:rowOff>723901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4CAC8017-54D9-3D41-AC48-38E1375962FF}"/>
            </a:ext>
          </a:extLst>
        </xdr:cNvPr>
        <xdr:cNvSpPr/>
      </xdr:nvSpPr>
      <xdr:spPr>
        <a:xfrm>
          <a:off x="15554325" y="12198351"/>
          <a:ext cx="2892425" cy="6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110</xdr:row>
      <xdr:rowOff>12698</xdr:rowOff>
    </xdr:from>
    <xdr:to>
      <xdr:col>5</xdr:col>
      <xdr:colOff>2914650</xdr:colOff>
      <xdr:row>110</xdr:row>
      <xdr:rowOff>380999</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FA851E88-D3E9-A843-B857-6A2C52E117D5}"/>
            </a:ext>
          </a:extLst>
        </xdr:cNvPr>
        <xdr:cNvSpPr/>
      </xdr:nvSpPr>
      <xdr:spPr>
        <a:xfrm>
          <a:off x="15376525" y="12026898"/>
          <a:ext cx="3082925" cy="1778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101</xdr:row>
      <xdr:rowOff>12698</xdr:rowOff>
    </xdr:from>
    <xdr:to>
      <xdr:col>5</xdr:col>
      <xdr:colOff>2914650</xdr:colOff>
      <xdr:row>101</xdr:row>
      <xdr:rowOff>380999</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34C5580B-13DD-4B47-AC7B-DB100B1272F8}"/>
            </a:ext>
          </a:extLst>
        </xdr:cNvPr>
        <xdr:cNvSpPr/>
      </xdr:nvSpPr>
      <xdr:spPr>
        <a:xfrm>
          <a:off x="15376525" y="11455398"/>
          <a:ext cx="3082925" cy="1778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6349</xdr:colOff>
      <xdr:row>101</xdr:row>
      <xdr:rowOff>400050</xdr:rowOff>
    </xdr:from>
    <xdr:to>
      <xdr:col>5</xdr:col>
      <xdr:colOff>2733674</xdr:colOff>
      <xdr:row>101</xdr:row>
      <xdr:rowOff>714375</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0D03B3EC-FA98-014C-8FBF-CED8F7FD0E29}"/>
            </a:ext>
          </a:extLst>
        </xdr:cNvPr>
        <xdr:cNvSpPr/>
      </xdr:nvSpPr>
      <xdr:spPr>
        <a:xfrm>
          <a:off x="15551149" y="11626850"/>
          <a:ext cx="2727325" cy="9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201</xdr:row>
      <xdr:rowOff>447675</xdr:rowOff>
    </xdr:from>
    <xdr:to>
      <xdr:col>5</xdr:col>
      <xdr:colOff>0</xdr:colOff>
      <xdr:row>201</xdr:row>
      <xdr:rowOff>600075</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76388354-4B36-9B47-9EF4-756778AFA43C}"/>
            </a:ext>
          </a:extLst>
        </xdr:cNvPr>
        <xdr:cNvSpPr/>
      </xdr:nvSpPr>
      <xdr:spPr>
        <a:xfrm>
          <a:off x="13289643" y="16785318"/>
          <a:ext cx="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201</xdr:row>
      <xdr:rowOff>387351</xdr:rowOff>
    </xdr:from>
    <xdr:to>
      <xdr:col>5</xdr:col>
      <xdr:colOff>0</xdr:colOff>
      <xdr:row>201</xdr:row>
      <xdr:rowOff>723901</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EB33B92E-1EC7-8747-AD2C-2A357D82508B}"/>
            </a:ext>
          </a:extLst>
        </xdr:cNvPr>
        <xdr:cNvSpPr/>
      </xdr:nvSpPr>
      <xdr:spPr>
        <a:xfrm>
          <a:off x="13289643" y="16724994"/>
          <a:ext cx="0" cy="336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201</xdr:row>
      <xdr:rowOff>12698</xdr:rowOff>
    </xdr:from>
    <xdr:to>
      <xdr:col>5</xdr:col>
      <xdr:colOff>0</xdr:colOff>
      <xdr:row>201</xdr:row>
      <xdr:rowOff>380999</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22911B43-A79A-3741-B926-EF28CDCB559B}"/>
            </a:ext>
          </a:extLst>
        </xdr:cNvPr>
        <xdr:cNvSpPr/>
      </xdr:nvSpPr>
      <xdr:spPr>
        <a:xfrm>
          <a:off x="13289643" y="16350341"/>
          <a:ext cx="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244</xdr:row>
      <xdr:rowOff>447675</xdr:rowOff>
    </xdr:from>
    <xdr:to>
      <xdr:col>5</xdr:col>
      <xdr:colOff>0</xdr:colOff>
      <xdr:row>244</xdr:row>
      <xdr:rowOff>549275</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6297B903-E558-AC4B-A304-C7C72CEC867C}"/>
            </a:ext>
          </a:extLst>
        </xdr:cNvPr>
        <xdr:cNvSpPr/>
      </xdr:nvSpPr>
      <xdr:spPr>
        <a:xfrm>
          <a:off x="13289643" y="24151318"/>
          <a:ext cx="0" cy="101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244</xdr:row>
      <xdr:rowOff>387351</xdr:rowOff>
    </xdr:from>
    <xdr:to>
      <xdr:col>5</xdr:col>
      <xdr:colOff>0</xdr:colOff>
      <xdr:row>244</xdr:row>
      <xdr:rowOff>552451</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B86AC273-9066-6440-A169-EFA24822A81D}"/>
            </a:ext>
          </a:extLst>
        </xdr:cNvPr>
        <xdr:cNvSpPr/>
      </xdr:nvSpPr>
      <xdr:spPr>
        <a:xfrm>
          <a:off x="13289643" y="24090994"/>
          <a:ext cx="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244</xdr:row>
      <xdr:rowOff>12698</xdr:rowOff>
    </xdr:from>
    <xdr:to>
      <xdr:col>5</xdr:col>
      <xdr:colOff>0</xdr:colOff>
      <xdr:row>244</xdr:row>
      <xdr:rowOff>380999</xdr:rowOff>
    </xdr:to>
    <xdr:sp macro="" textlink="">
      <xdr:nvSpPr>
        <xdr:cNvPr id="12" name="Rectangle 11">
          <a:hlinkClick xmlns:r="http://schemas.openxmlformats.org/officeDocument/2006/relationships" r:id="rId3"/>
          <a:extLst>
            <a:ext uri="{FF2B5EF4-FFF2-40B4-BE49-F238E27FC236}">
              <a16:creationId xmlns:a16="http://schemas.microsoft.com/office/drawing/2014/main" id="{AABDF698-C021-1D4F-B7B2-21AD9AC41E4E}"/>
            </a:ext>
          </a:extLst>
        </xdr:cNvPr>
        <xdr:cNvSpPr/>
      </xdr:nvSpPr>
      <xdr:spPr>
        <a:xfrm>
          <a:off x="13289643" y="23716341"/>
          <a:ext cx="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261</xdr:row>
      <xdr:rowOff>447675</xdr:rowOff>
    </xdr:from>
    <xdr:to>
      <xdr:col>5</xdr:col>
      <xdr:colOff>0</xdr:colOff>
      <xdr:row>261</xdr:row>
      <xdr:rowOff>549275</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83CBD40C-DADB-F740-8FF0-808B3C258E8A}"/>
            </a:ext>
          </a:extLst>
        </xdr:cNvPr>
        <xdr:cNvSpPr/>
      </xdr:nvSpPr>
      <xdr:spPr>
        <a:xfrm>
          <a:off x="13289643" y="26546175"/>
          <a:ext cx="0" cy="101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261</xdr:row>
      <xdr:rowOff>387351</xdr:rowOff>
    </xdr:from>
    <xdr:to>
      <xdr:col>5</xdr:col>
      <xdr:colOff>0</xdr:colOff>
      <xdr:row>261</xdr:row>
      <xdr:rowOff>552451</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5C1BD85F-520A-AB4A-9C46-F14ADA553E9F}"/>
            </a:ext>
          </a:extLst>
        </xdr:cNvPr>
        <xdr:cNvSpPr/>
      </xdr:nvSpPr>
      <xdr:spPr>
        <a:xfrm>
          <a:off x="13289643" y="26485851"/>
          <a:ext cx="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261</xdr:row>
      <xdr:rowOff>12698</xdr:rowOff>
    </xdr:from>
    <xdr:to>
      <xdr:col>5</xdr:col>
      <xdr:colOff>0</xdr:colOff>
      <xdr:row>261</xdr:row>
      <xdr:rowOff>380999</xdr:rowOff>
    </xdr:to>
    <xdr:sp macro="" textlink="">
      <xdr:nvSpPr>
        <xdr:cNvPr id="15" name="Rectangle 14">
          <a:hlinkClick xmlns:r="http://schemas.openxmlformats.org/officeDocument/2006/relationships" r:id="rId3"/>
          <a:extLst>
            <a:ext uri="{FF2B5EF4-FFF2-40B4-BE49-F238E27FC236}">
              <a16:creationId xmlns:a16="http://schemas.microsoft.com/office/drawing/2014/main" id="{AEB36397-C4F4-4C4D-8FC0-81538E572EE7}"/>
            </a:ext>
          </a:extLst>
        </xdr:cNvPr>
        <xdr:cNvSpPr/>
      </xdr:nvSpPr>
      <xdr:spPr>
        <a:xfrm>
          <a:off x="13289643" y="26111198"/>
          <a:ext cx="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16934</xdr:colOff>
      <xdr:row>41</xdr:row>
      <xdr:rowOff>45824</xdr:rowOff>
    </xdr:from>
    <xdr:to>
      <xdr:col>2</xdr:col>
      <xdr:colOff>3098800</xdr:colOff>
      <xdr:row>60</xdr:row>
      <xdr:rowOff>135467</xdr:rowOff>
    </xdr:to>
    <xdr:graphicFrame macro="">
      <xdr:nvGraphicFramePr>
        <xdr:cNvPr id="5" name="Chart 4">
          <a:extLst>
            <a:ext uri="{FF2B5EF4-FFF2-40B4-BE49-F238E27FC236}">
              <a16:creationId xmlns:a16="http://schemas.microsoft.com/office/drawing/2014/main" id="{AD0D2C78-1986-46F3-9838-B6EA078EBB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523875</xdr:colOff>
      <xdr:row>41</xdr:row>
      <xdr:rowOff>46131</xdr:rowOff>
    </xdr:from>
    <xdr:to>
      <xdr:col>6</xdr:col>
      <xdr:colOff>3454399</xdr:colOff>
      <xdr:row>60</xdr:row>
      <xdr:rowOff>120073</xdr:rowOff>
    </xdr:to>
    <xdr:graphicFrame macro="">
      <xdr:nvGraphicFramePr>
        <xdr:cNvPr id="6" name="Chart 5">
          <a:extLst>
            <a:ext uri="{FF2B5EF4-FFF2-40B4-BE49-F238E27FC236}">
              <a16:creationId xmlns:a16="http://schemas.microsoft.com/office/drawing/2014/main" id="{C4B7663C-A01C-4D5D-9CCF-21EE74B82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105558</xdr:colOff>
      <xdr:row>17</xdr:row>
      <xdr:rowOff>105588</xdr:rowOff>
    </xdr:from>
    <xdr:to>
      <xdr:col>1</xdr:col>
      <xdr:colOff>5031055</xdr:colOff>
      <xdr:row>27</xdr:row>
      <xdr:rowOff>44450</xdr:rowOff>
    </xdr:to>
    <xdr:grpSp>
      <xdr:nvGrpSpPr>
        <xdr:cNvPr id="3" name="Group 2">
          <a:extLst>
            <a:ext uri="{FF2B5EF4-FFF2-40B4-BE49-F238E27FC236}">
              <a16:creationId xmlns:a16="http://schemas.microsoft.com/office/drawing/2014/main" id="{4F495D8B-DBB8-44E2-8733-548E06909968}"/>
            </a:ext>
          </a:extLst>
        </xdr:cNvPr>
        <xdr:cNvGrpSpPr/>
      </xdr:nvGrpSpPr>
      <xdr:grpSpPr>
        <a:xfrm>
          <a:off x="334158" y="5249088"/>
          <a:ext cx="4925497" cy="1843862"/>
          <a:chOff x="2473171" y="3786546"/>
          <a:chExt cx="6082700" cy="2980923"/>
        </a:xfrm>
      </xdr:grpSpPr>
      <xdr:sp macro="" textlink="">
        <xdr:nvSpPr>
          <xdr:cNvPr id="4" name="Freeform: Shape 3">
            <a:extLst>
              <a:ext uri="{FF2B5EF4-FFF2-40B4-BE49-F238E27FC236}">
                <a16:creationId xmlns:a16="http://schemas.microsoft.com/office/drawing/2014/main" id="{E0385CB6-F3CB-4719-AB51-CC9484B98B78}"/>
              </a:ext>
            </a:extLst>
          </xdr:cNvPr>
          <xdr:cNvSpPr/>
        </xdr:nvSpPr>
        <xdr:spPr>
          <a:xfrm rot="20358163">
            <a:off x="5250968" y="4546462"/>
            <a:ext cx="587054" cy="91439"/>
          </a:xfrm>
          <a:custGeom>
            <a:avLst/>
            <a:gdLst>
              <a:gd name="connsiteX0" fmla="*/ 0 w 587053"/>
              <a:gd name="connsiteY0" fmla="*/ 45720 h 91440"/>
              <a:gd name="connsiteX1" fmla="*/ 587053 w 587053"/>
              <a:gd name="connsiteY1" fmla="*/ 45720 h 91440"/>
            </a:gdLst>
            <a:ahLst/>
            <a:cxnLst>
              <a:cxn ang="0">
                <a:pos x="connsiteX0" y="connsiteY0"/>
              </a:cxn>
              <a:cxn ang="0">
                <a:pos x="connsiteX1" y="connsiteY1"/>
              </a:cxn>
            </a:cxnLst>
            <a:rect l="l" t="t" r="r" b="b"/>
            <a:pathLst>
              <a:path w="587053" h="91440">
                <a:moveTo>
                  <a:pt x="0" y="45720"/>
                </a:moveTo>
                <a:lnTo>
                  <a:pt x="587053" y="45720"/>
                </a:lnTo>
              </a:path>
            </a:pathLst>
          </a:custGeom>
          <a:ln>
            <a:tailEnd type="arrow"/>
          </a:ln>
        </xdr:spPr>
        <xdr:style>
          <a:lnRef idx="2">
            <a:schemeClr val="accent5"/>
          </a:lnRef>
          <a:fillRef idx="1">
            <a:schemeClr val="lt1"/>
          </a:fillRef>
          <a:effectRef idx="0">
            <a:schemeClr val="accent5"/>
          </a:effectRef>
          <a:fontRef idx="minor">
            <a:schemeClr val="dk1"/>
          </a:fontRef>
        </xdr:style>
        <xdr:txBody>
          <a:bodyPr spcFirstLastPara="0" vert="horz" wrap="square" lIns="290786" tIns="42631" rIns="290785" bIns="42633" numCol="1" spcCol="1270" anchor="ctr" anchorCtr="0">
            <a:noAutofit/>
          </a:bodyPr>
          <a:lstStyle/>
          <a:p>
            <a:pPr marL="0" lvl="0" indent="0" algn="ctr" defTabSz="222250">
              <a:lnSpc>
                <a:spcPct val="90000"/>
              </a:lnSpc>
              <a:spcBef>
                <a:spcPct val="0"/>
              </a:spcBef>
              <a:spcAft>
                <a:spcPct val="35000"/>
              </a:spcAft>
              <a:buNone/>
            </a:pPr>
            <a:endParaRPr lang="en-US" sz="300" kern="1200"/>
          </a:p>
        </xdr:txBody>
      </xdr:sp>
      <xdr:sp macro="" textlink="">
        <xdr:nvSpPr>
          <xdr:cNvPr id="5" name="Freeform: Shape 4">
            <a:extLst>
              <a:ext uri="{FF2B5EF4-FFF2-40B4-BE49-F238E27FC236}">
                <a16:creationId xmlns:a16="http://schemas.microsoft.com/office/drawing/2014/main" id="{59DADC57-8E7B-4FCF-ADC9-BB1D9F6AE971}"/>
              </a:ext>
            </a:extLst>
          </xdr:cNvPr>
          <xdr:cNvSpPr/>
        </xdr:nvSpPr>
        <xdr:spPr>
          <a:xfrm>
            <a:off x="2473171" y="4463120"/>
            <a:ext cx="2685449" cy="1611269"/>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600" kern="1200"/>
              <a:t>Primary user</a:t>
            </a:r>
          </a:p>
        </xdr:txBody>
      </xdr:sp>
      <xdr:sp macro="" textlink="">
        <xdr:nvSpPr>
          <xdr:cNvPr id="6" name="Freeform: Shape 5">
            <a:extLst>
              <a:ext uri="{FF2B5EF4-FFF2-40B4-BE49-F238E27FC236}">
                <a16:creationId xmlns:a16="http://schemas.microsoft.com/office/drawing/2014/main" id="{605A9D66-D685-43DF-94CF-B48525FE5AC5}"/>
              </a:ext>
            </a:extLst>
          </xdr:cNvPr>
          <xdr:cNvSpPr/>
        </xdr:nvSpPr>
        <xdr:spPr>
          <a:xfrm rot="1276222">
            <a:off x="5201626" y="5916114"/>
            <a:ext cx="587053" cy="91439"/>
          </a:xfrm>
          <a:custGeom>
            <a:avLst/>
            <a:gdLst>
              <a:gd name="connsiteX0" fmla="*/ 0 w 587053"/>
              <a:gd name="connsiteY0" fmla="*/ 45720 h 91440"/>
              <a:gd name="connsiteX1" fmla="*/ 587053 w 587053"/>
              <a:gd name="connsiteY1" fmla="*/ 45720 h 91440"/>
            </a:gdLst>
            <a:ahLst/>
            <a:cxnLst>
              <a:cxn ang="0">
                <a:pos x="connsiteX0" y="connsiteY0"/>
              </a:cxn>
              <a:cxn ang="0">
                <a:pos x="connsiteX1" y="connsiteY1"/>
              </a:cxn>
            </a:cxnLst>
            <a:rect l="l" t="t" r="r" b="b"/>
            <a:pathLst>
              <a:path w="587053" h="91440">
                <a:moveTo>
                  <a:pt x="0" y="45720"/>
                </a:moveTo>
                <a:lnTo>
                  <a:pt x="587053" y="45720"/>
                </a:lnTo>
              </a:path>
            </a:pathLst>
          </a:custGeom>
          <a:ln>
            <a:tailEnd type="arrow"/>
          </a:ln>
        </xdr:spPr>
        <xdr:style>
          <a:lnRef idx="2">
            <a:schemeClr val="accent5"/>
          </a:lnRef>
          <a:fillRef idx="1">
            <a:schemeClr val="lt1"/>
          </a:fillRef>
          <a:effectRef idx="0">
            <a:schemeClr val="accent5"/>
          </a:effectRef>
          <a:fontRef idx="minor">
            <a:schemeClr val="dk1"/>
          </a:fontRef>
        </xdr:style>
        <xdr:txBody>
          <a:bodyPr spcFirstLastPara="0" vert="horz" wrap="square" lIns="290785" tIns="42631" rIns="290786" bIns="42633" numCol="1" spcCol="1270" anchor="ctr" anchorCtr="0">
            <a:noAutofit/>
          </a:bodyPr>
          <a:lstStyle/>
          <a:p>
            <a:pPr marL="0" lvl="0" indent="0" algn="ctr" defTabSz="222250">
              <a:lnSpc>
                <a:spcPct val="90000"/>
              </a:lnSpc>
              <a:spcBef>
                <a:spcPct val="0"/>
              </a:spcBef>
              <a:spcAft>
                <a:spcPct val="35000"/>
              </a:spcAft>
              <a:buNone/>
            </a:pPr>
            <a:endParaRPr lang="en-US" sz="300" kern="1200"/>
          </a:p>
        </xdr:txBody>
      </xdr:sp>
      <xdr:sp macro="" textlink="">
        <xdr:nvSpPr>
          <xdr:cNvPr id="7" name="Freeform: Shape 6">
            <a:extLst>
              <a:ext uri="{FF2B5EF4-FFF2-40B4-BE49-F238E27FC236}">
                <a16:creationId xmlns:a16="http://schemas.microsoft.com/office/drawing/2014/main" id="{DAAC5DCE-D128-4966-BCB4-08CEDCC04383}"/>
              </a:ext>
            </a:extLst>
          </xdr:cNvPr>
          <xdr:cNvSpPr/>
        </xdr:nvSpPr>
        <xdr:spPr>
          <a:xfrm>
            <a:off x="5870421" y="3786546"/>
            <a:ext cx="2685450" cy="1611270"/>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600" kern="1200"/>
              <a:t>Central MOH or other national ministry level or subnational government</a:t>
            </a:r>
          </a:p>
        </xdr:txBody>
      </xdr:sp>
      <xdr:sp macro="" textlink="">
        <xdr:nvSpPr>
          <xdr:cNvPr id="8" name="Freeform: Shape 7">
            <a:extLst>
              <a:ext uri="{FF2B5EF4-FFF2-40B4-BE49-F238E27FC236}">
                <a16:creationId xmlns:a16="http://schemas.microsoft.com/office/drawing/2014/main" id="{11DA071E-321B-4CE7-B525-90967C646630}"/>
              </a:ext>
            </a:extLst>
          </xdr:cNvPr>
          <xdr:cNvSpPr/>
        </xdr:nvSpPr>
        <xdr:spPr>
          <a:xfrm>
            <a:off x="5868130" y="5495954"/>
            <a:ext cx="2685450" cy="1271515"/>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600" kern="1200"/>
              <a:t>Health facilities/HCWs/clients</a:t>
            </a:r>
          </a:p>
        </xdr:txBody>
      </xdr:sp>
    </xdr:grpSp>
    <xdr:clientData/>
  </xdr:twoCellAnchor>
  <xdr:twoCellAnchor>
    <xdr:from>
      <xdr:col>1</xdr:col>
      <xdr:colOff>5125233</xdr:colOff>
      <xdr:row>19</xdr:row>
      <xdr:rowOff>172263</xdr:rowOff>
    </xdr:from>
    <xdr:to>
      <xdr:col>2</xdr:col>
      <xdr:colOff>178009</xdr:colOff>
      <xdr:row>20</xdr:row>
      <xdr:rowOff>48296</xdr:rowOff>
    </xdr:to>
    <xdr:sp macro="" textlink="">
      <xdr:nvSpPr>
        <xdr:cNvPr id="9" name="Freeform: Shape 8">
          <a:extLst>
            <a:ext uri="{FF2B5EF4-FFF2-40B4-BE49-F238E27FC236}">
              <a16:creationId xmlns:a16="http://schemas.microsoft.com/office/drawing/2014/main" id="{4C12C377-73BD-4A51-B99A-DD29BF97E757}"/>
            </a:ext>
          </a:extLst>
        </xdr:cNvPr>
        <xdr:cNvSpPr/>
      </xdr:nvSpPr>
      <xdr:spPr>
        <a:xfrm>
          <a:off x="5372883" y="4001313"/>
          <a:ext cx="472501" cy="57008"/>
        </a:xfrm>
        <a:custGeom>
          <a:avLst/>
          <a:gdLst>
            <a:gd name="connsiteX0" fmla="*/ 0 w 587053"/>
            <a:gd name="connsiteY0" fmla="*/ 45720 h 91440"/>
            <a:gd name="connsiteX1" fmla="*/ 587053 w 587053"/>
            <a:gd name="connsiteY1" fmla="*/ 45720 h 91440"/>
          </a:gdLst>
          <a:ahLst/>
          <a:cxnLst>
            <a:cxn ang="0">
              <a:pos x="connsiteX0" y="connsiteY0"/>
            </a:cxn>
            <a:cxn ang="0">
              <a:pos x="connsiteX1" y="connsiteY1"/>
            </a:cxn>
          </a:cxnLst>
          <a:rect l="l" t="t" r="r" b="b"/>
          <a:pathLst>
            <a:path w="587053" h="91440">
              <a:moveTo>
                <a:pt x="0" y="45720"/>
              </a:moveTo>
              <a:lnTo>
                <a:pt x="587053" y="45720"/>
              </a:lnTo>
            </a:path>
          </a:pathLst>
        </a:custGeom>
        <a:ln>
          <a:tailEnd type="arrow"/>
        </a:ln>
      </xdr:spPr>
      <xdr:style>
        <a:lnRef idx="2">
          <a:schemeClr val="accent5"/>
        </a:lnRef>
        <a:fillRef idx="1">
          <a:schemeClr val="lt1"/>
        </a:fillRef>
        <a:effectRef idx="0">
          <a:schemeClr val="accent5"/>
        </a:effectRef>
        <a:fontRef idx="minor">
          <a:schemeClr val="dk1"/>
        </a:fontRef>
      </xdr:style>
      <xdr:txBody>
        <a:bodyPr spcFirstLastPara="0" vert="horz" wrap="square" lIns="290786" tIns="42631" rIns="290785" bIns="42633" numCol="1" spcCol="1270" anchor="ctr" anchorCtr="0">
          <a:noAutofit/>
        </a:bodyPr>
        <a:lstStyle/>
        <a:p>
          <a:pPr marL="0" lvl="0" indent="0" algn="ctr" defTabSz="222250">
            <a:lnSpc>
              <a:spcPct val="90000"/>
            </a:lnSpc>
            <a:spcBef>
              <a:spcPct val="0"/>
            </a:spcBef>
            <a:spcAft>
              <a:spcPct val="35000"/>
            </a:spcAft>
            <a:buNone/>
          </a:pPr>
          <a:endParaRPr lang="en-US" sz="300" kern="1200"/>
        </a:p>
      </xdr:txBody>
    </xdr:sp>
    <xdr:clientData/>
  </xdr:twoCellAnchor>
  <xdr:twoCellAnchor>
    <xdr:from>
      <xdr:col>1</xdr:col>
      <xdr:colOff>5106183</xdr:colOff>
      <xdr:row>24</xdr:row>
      <xdr:rowOff>159563</xdr:rowOff>
    </xdr:from>
    <xdr:to>
      <xdr:col>2</xdr:col>
      <xdr:colOff>158959</xdr:colOff>
      <xdr:row>25</xdr:row>
      <xdr:rowOff>35596</xdr:rowOff>
    </xdr:to>
    <xdr:sp macro="" textlink="">
      <xdr:nvSpPr>
        <xdr:cNvPr id="10" name="Freeform: Shape 9">
          <a:extLst>
            <a:ext uri="{FF2B5EF4-FFF2-40B4-BE49-F238E27FC236}">
              <a16:creationId xmlns:a16="http://schemas.microsoft.com/office/drawing/2014/main" id="{4F882108-D5C2-47A6-AF6A-B7C38D22E06D}"/>
            </a:ext>
          </a:extLst>
        </xdr:cNvPr>
        <xdr:cNvSpPr/>
      </xdr:nvSpPr>
      <xdr:spPr>
        <a:xfrm>
          <a:off x="5353833" y="4893488"/>
          <a:ext cx="472501" cy="57008"/>
        </a:xfrm>
        <a:custGeom>
          <a:avLst/>
          <a:gdLst>
            <a:gd name="connsiteX0" fmla="*/ 0 w 587053"/>
            <a:gd name="connsiteY0" fmla="*/ 45720 h 91440"/>
            <a:gd name="connsiteX1" fmla="*/ 587053 w 587053"/>
            <a:gd name="connsiteY1" fmla="*/ 45720 h 91440"/>
          </a:gdLst>
          <a:ahLst/>
          <a:cxnLst>
            <a:cxn ang="0">
              <a:pos x="connsiteX0" y="connsiteY0"/>
            </a:cxn>
            <a:cxn ang="0">
              <a:pos x="connsiteX1" y="connsiteY1"/>
            </a:cxn>
          </a:cxnLst>
          <a:rect l="l" t="t" r="r" b="b"/>
          <a:pathLst>
            <a:path w="587053" h="91440">
              <a:moveTo>
                <a:pt x="0" y="45720"/>
              </a:moveTo>
              <a:lnTo>
                <a:pt x="587053" y="45720"/>
              </a:lnTo>
            </a:path>
          </a:pathLst>
        </a:custGeom>
        <a:ln>
          <a:tailEnd type="arrow"/>
        </a:ln>
      </xdr:spPr>
      <xdr:style>
        <a:lnRef idx="2">
          <a:schemeClr val="accent5"/>
        </a:lnRef>
        <a:fillRef idx="1">
          <a:schemeClr val="lt1"/>
        </a:fillRef>
        <a:effectRef idx="0">
          <a:schemeClr val="accent5"/>
        </a:effectRef>
        <a:fontRef idx="minor">
          <a:schemeClr val="dk1"/>
        </a:fontRef>
      </xdr:style>
      <xdr:txBody>
        <a:bodyPr spcFirstLastPara="0" vert="horz" wrap="square" lIns="290786" tIns="42631" rIns="290785" bIns="42633" numCol="1" spcCol="1270" anchor="ctr" anchorCtr="0">
          <a:noAutofit/>
        </a:bodyPr>
        <a:lstStyle/>
        <a:p>
          <a:pPr marL="0" lvl="0" indent="0" algn="ctr" defTabSz="222250">
            <a:lnSpc>
              <a:spcPct val="90000"/>
            </a:lnSpc>
            <a:spcBef>
              <a:spcPct val="0"/>
            </a:spcBef>
            <a:spcAft>
              <a:spcPct val="35000"/>
            </a:spcAft>
            <a:buNone/>
          </a:pPr>
          <a:endParaRPr lang="en-US" sz="300" kern="1200"/>
        </a:p>
      </xdr:txBody>
    </xdr:sp>
    <xdr:clientData/>
  </xdr:twoCellAnchor>
  <xdr:twoCellAnchor>
    <xdr:from>
      <xdr:col>2</xdr:col>
      <xdr:colOff>336015</xdr:colOff>
      <xdr:row>17</xdr:row>
      <xdr:rowOff>134164</xdr:rowOff>
    </xdr:from>
    <xdr:to>
      <xdr:col>2</xdr:col>
      <xdr:colOff>3590925</xdr:colOff>
      <xdr:row>22</xdr:row>
      <xdr:rowOff>133351</xdr:rowOff>
    </xdr:to>
    <xdr:sp macro="" textlink="">
      <xdr:nvSpPr>
        <xdr:cNvPr id="11" name="Freeform: Shape 10">
          <a:extLst>
            <a:ext uri="{FF2B5EF4-FFF2-40B4-BE49-F238E27FC236}">
              <a16:creationId xmlns:a16="http://schemas.microsoft.com/office/drawing/2014/main" id="{C552C7B1-C83E-45EA-8B47-B2E9DB7AD918}"/>
            </a:ext>
          </a:extLst>
        </xdr:cNvPr>
        <xdr:cNvSpPr/>
      </xdr:nvSpPr>
      <xdr:spPr>
        <a:xfrm>
          <a:off x="6003390" y="3601264"/>
          <a:ext cx="3254910" cy="904062"/>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600" kern="1200"/>
            <a:t>Is the implementation of the solution planned for scaling by end user (number of facilities, healthcare worker or client)?</a:t>
          </a:r>
        </a:p>
      </xdr:txBody>
    </xdr:sp>
    <xdr:clientData/>
  </xdr:twoCellAnchor>
  <xdr:twoCellAnchor>
    <xdr:from>
      <xdr:col>2</xdr:col>
      <xdr:colOff>334158</xdr:colOff>
      <xdr:row>23</xdr:row>
      <xdr:rowOff>54695</xdr:rowOff>
    </xdr:from>
    <xdr:to>
      <xdr:col>2</xdr:col>
      <xdr:colOff>3568700</xdr:colOff>
      <xdr:row>26</xdr:row>
      <xdr:rowOff>123825</xdr:rowOff>
    </xdr:to>
    <xdr:sp macro="" textlink="">
      <xdr:nvSpPr>
        <xdr:cNvPr id="13" name="Freeform: Shape 12">
          <a:extLst>
            <a:ext uri="{FF2B5EF4-FFF2-40B4-BE49-F238E27FC236}">
              <a16:creationId xmlns:a16="http://schemas.microsoft.com/office/drawing/2014/main" id="{20A7E3B1-A30D-4A62-9C47-FDB39AA9C69F}"/>
            </a:ext>
          </a:extLst>
        </xdr:cNvPr>
        <xdr:cNvSpPr/>
      </xdr:nvSpPr>
      <xdr:spPr>
        <a:xfrm>
          <a:off x="6001533" y="4607645"/>
          <a:ext cx="3234542" cy="612055"/>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600" kern="1200"/>
            <a:t>Include</a:t>
          </a:r>
          <a:r>
            <a:rPr lang="en-US" sz="1600" kern="1200" baseline="0"/>
            <a:t> inputs related to scaling by: </a:t>
          </a:r>
        </a:p>
      </xdr:txBody>
    </xdr:sp>
    <xdr:clientData/>
  </xdr:twoCellAnchor>
  <xdr:twoCellAnchor>
    <xdr:from>
      <xdr:col>1</xdr:col>
      <xdr:colOff>4941083</xdr:colOff>
      <xdr:row>18</xdr:row>
      <xdr:rowOff>67395</xdr:rowOff>
    </xdr:from>
    <xdr:to>
      <xdr:col>2</xdr:col>
      <xdr:colOff>396875</xdr:colOff>
      <xdr:row>20</xdr:row>
      <xdr:rowOff>0</xdr:rowOff>
    </xdr:to>
    <xdr:sp macro="" textlink="">
      <xdr:nvSpPr>
        <xdr:cNvPr id="14" name="Freeform: Shape 13">
          <a:extLst>
            <a:ext uri="{FF2B5EF4-FFF2-40B4-BE49-F238E27FC236}">
              <a16:creationId xmlns:a16="http://schemas.microsoft.com/office/drawing/2014/main" id="{85D8B504-A08D-4E4F-9389-42B56EC3355A}"/>
            </a:ext>
          </a:extLst>
        </xdr:cNvPr>
        <xdr:cNvSpPr/>
      </xdr:nvSpPr>
      <xdr:spPr>
        <a:xfrm>
          <a:off x="5188733" y="3715470"/>
          <a:ext cx="875517" cy="294555"/>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a:noFill/>
        <a:ln>
          <a:noFill/>
        </a:ln>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400" b="1" kern="1200"/>
            <a:t>Skip to</a:t>
          </a:r>
        </a:p>
      </xdr:txBody>
    </xdr:sp>
    <xdr:clientData/>
  </xdr:twoCellAnchor>
  <xdr:twoCellAnchor>
    <xdr:from>
      <xdr:col>2</xdr:col>
      <xdr:colOff>3755514</xdr:colOff>
      <xdr:row>18</xdr:row>
      <xdr:rowOff>48149</xdr:rowOff>
    </xdr:from>
    <xdr:to>
      <xdr:col>3</xdr:col>
      <xdr:colOff>411665</xdr:colOff>
      <xdr:row>18</xdr:row>
      <xdr:rowOff>101982</xdr:rowOff>
    </xdr:to>
    <xdr:sp macro="" textlink="">
      <xdr:nvSpPr>
        <xdr:cNvPr id="17" name="Freeform: Shape 16">
          <a:extLst>
            <a:ext uri="{FF2B5EF4-FFF2-40B4-BE49-F238E27FC236}">
              <a16:creationId xmlns:a16="http://schemas.microsoft.com/office/drawing/2014/main" id="{B89CB29F-0BB9-41E0-8030-3903F29CBB8C}"/>
            </a:ext>
          </a:extLst>
        </xdr:cNvPr>
        <xdr:cNvSpPr/>
      </xdr:nvSpPr>
      <xdr:spPr>
        <a:xfrm rot="20358163">
          <a:off x="9422889" y="3696224"/>
          <a:ext cx="485201" cy="53833"/>
        </a:xfrm>
        <a:custGeom>
          <a:avLst/>
          <a:gdLst>
            <a:gd name="connsiteX0" fmla="*/ 0 w 587053"/>
            <a:gd name="connsiteY0" fmla="*/ 45720 h 91440"/>
            <a:gd name="connsiteX1" fmla="*/ 587053 w 587053"/>
            <a:gd name="connsiteY1" fmla="*/ 45720 h 91440"/>
          </a:gdLst>
          <a:ahLst/>
          <a:cxnLst>
            <a:cxn ang="0">
              <a:pos x="connsiteX0" y="connsiteY0"/>
            </a:cxn>
            <a:cxn ang="0">
              <a:pos x="connsiteX1" y="connsiteY1"/>
            </a:cxn>
          </a:cxnLst>
          <a:rect l="l" t="t" r="r" b="b"/>
          <a:pathLst>
            <a:path w="587053" h="91440">
              <a:moveTo>
                <a:pt x="0" y="45720"/>
              </a:moveTo>
              <a:lnTo>
                <a:pt x="587053" y="45720"/>
              </a:lnTo>
            </a:path>
          </a:pathLst>
        </a:custGeom>
        <a:ln>
          <a:tailEnd type="arrow"/>
        </a:ln>
      </xdr:spPr>
      <xdr:style>
        <a:lnRef idx="2">
          <a:schemeClr val="accent5"/>
        </a:lnRef>
        <a:fillRef idx="1">
          <a:schemeClr val="lt1"/>
        </a:fillRef>
        <a:effectRef idx="0">
          <a:schemeClr val="accent5"/>
        </a:effectRef>
        <a:fontRef idx="minor">
          <a:schemeClr val="dk1"/>
        </a:fontRef>
      </xdr:style>
      <xdr:txBody>
        <a:bodyPr spcFirstLastPara="0" vert="horz" wrap="square" lIns="290786" tIns="42631" rIns="290785" bIns="42633" numCol="1" spcCol="1270" anchor="ctr" anchorCtr="0">
          <a:noAutofit/>
        </a:bodyPr>
        <a:lstStyle/>
        <a:p>
          <a:pPr marL="0" lvl="0" indent="0" algn="ctr" defTabSz="222250">
            <a:lnSpc>
              <a:spcPct val="90000"/>
            </a:lnSpc>
            <a:spcBef>
              <a:spcPct val="0"/>
            </a:spcBef>
            <a:spcAft>
              <a:spcPct val="35000"/>
            </a:spcAft>
            <a:buNone/>
          </a:pPr>
          <a:endParaRPr lang="en-US" sz="300" kern="1200"/>
        </a:p>
      </xdr:txBody>
    </xdr:sp>
    <xdr:clientData/>
  </xdr:twoCellAnchor>
  <xdr:twoCellAnchor>
    <xdr:from>
      <xdr:col>2</xdr:col>
      <xdr:colOff>3649778</xdr:colOff>
      <xdr:row>22</xdr:row>
      <xdr:rowOff>76107</xdr:rowOff>
    </xdr:from>
    <xdr:to>
      <xdr:col>3</xdr:col>
      <xdr:colOff>239016</xdr:colOff>
      <xdr:row>24</xdr:row>
      <xdr:rowOff>121887</xdr:rowOff>
    </xdr:to>
    <xdr:sp macro="" textlink="">
      <xdr:nvSpPr>
        <xdr:cNvPr id="18" name="Arrow: U-Turn 17">
          <a:extLst>
            <a:ext uri="{FF2B5EF4-FFF2-40B4-BE49-F238E27FC236}">
              <a16:creationId xmlns:a16="http://schemas.microsoft.com/office/drawing/2014/main" id="{656237D1-8244-4BEF-8041-7500A7A997D5}"/>
            </a:ext>
          </a:extLst>
        </xdr:cNvPr>
        <xdr:cNvSpPr/>
      </xdr:nvSpPr>
      <xdr:spPr>
        <a:xfrm rot="5400000">
          <a:off x="9322432" y="4442803"/>
          <a:ext cx="407730" cy="418288"/>
        </a:xfrm>
        <a:prstGeom prst="uturnArrow">
          <a:avLst>
            <a:gd name="adj1" fmla="val 843"/>
            <a:gd name="adj2" fmla="val 25000"/>
            <a:gd name="adj3" fmla="val 35382"/>
            <a:gd name="adj4" fmla="val 37743"/>
            <a:gd name="adj5" fmla="val 75000"/>
          </a:avLst>
        </a:prstGeom>
        <a:ln>
          <a:tailEnd type="arrow"/>
        </a:ln>
      </xdr:spPr>
      <xdr:style>
        <a:lnRef idx="2">
          <a:schemeClr val="accent5"/>
        </a:lnRef>
        <a:fillRef idx="1">
          <a:schemeClr val="lt1"/>
        </a:fillRef>
        <a:effectRef idx="0">
          <a:schemeClr val="accent5"/>
        </a:effectRef>
        <a:fontRef idx="minor">
          <a:schemeClr val="dk1"/>
        </a:fontRef>
      </xdr:style>
      <xdr:txBody>
        <a:bodyPr spcFirstLastPara="0" vert="horz" wrap="square" lIns="290785" tIns="42631" rIns="290786" bIns="42633" numCol="1" spcCol="1270" anchor="ctr" anchorCtr="0">
          <a:noAutofit/>
        </a:bodyPr>
        <a:lstStyle/>
        <a:p>
          <a:pPr marL="0" lvl="0" indent="0" algn="ctr" defTabSz="222250">
            <a:lnSpc>
              <a:spcPct val="90000"/>
            </a:lnSpc>
            <a:spcBef>
              <a:spcPct val="0"/>
            </a:spcBef>
            <a:spcAft>
              <a:spcPct val="35000"/>
            </a:spcAft>
            <a:buNone/>
          </a:pPr>
          <a:endParaRPr lang="en-US" sz="300" kern="1200"/>
        </a:p>
      </xdr:txBody>
    </xdr:sp>
    <xdr:clientData/>
  </xdr:twoCellAnchor>
  <xdr:twoCellAnchor>
    <xdr:from>
      <xdr:col>3</xdr:col>
      <xdr:colOff>431568</xdr:colOff>
      <xdr:row>17</xdr:row>
      <xdr:rowOff>19049</xdr:rowOff>
    </xdr:from>
    <xdr:to>
      <xdr:col>4</xdr:col>
      <xdr:colOff>1685925</xdr:colOff>
      <xdr:row>19</xdr:row>
      <xdr:rowOff>133350</xdr:rowOff>
    </xdr:to>
    <xdr:sp macro="" textlink="">
      <xdr:nvSpPr>
        <xdr:cNvPr id="19" name="Freeform: Shape 18">
          <a:extLst>
            <a:ext uri="{FF2B5EF4-FFF2-40B4-BE49-F238E27FC236}">
              <a16:creationId xmlns:a16="http://schemas.microsoft.com/office/drawing/2014/main" id="{BEECCDB8-B0A1-4D1B-AC44-D651C54C2FD6}"/>
            </a:ext>
          </a:extLst>
        </xdr:cNvPr>
        <xdr:cNvSpPr/>
      </xdr:nvSpPr>
      <xdr:spPr>
        <a:xfrm>
          <a:off x="9927993" y="4981574"/>
          <a:ext cx="1863957" cy="476251"/>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600" kern="1200"/>
            <a:t>Skip</a:t>
          </a:r>
          <a:r>
            <a:rPr lang="en-US" sz="1600" kern="1200" baseline="0"/>
            <a:t> all inputs related to scaling </a:t>
          </a:r>
          <a:endParaRPr lang="en-US" sz="1600" kern="1200"/>
        </a:p>
      </xdr:txBody>
    </xdr:sp>
    <xdr:clientData/>
  </xdr:twoCellAnchor>
  <xdr:twoCellAnchor>
    <xdr:from>
      <xdr:col>2</xdr:col>
      <xdr:colOff>3533775</xdr:colOff>
      <xdr:row>15</xdr:row>
      <xdr:rowOff>149945</xdr:rowOff>
    </xdr:from>
    <xdr:to>
      <xdr:col>3</xdr:col>
      <xdr:colOff>444500</xdr:colOff>
      <xdr:row>18</xdr:row>
      <xdr:rowOff>92075</xdr:rowOff>
    </xdr:to>
    <xdr:sp macro="" textlink="">
      <xdr:nvSpPr>
        <xdr:cNvPr id="21" name="Freeform: Shape 20">
          <a:extLst>
            <a:ext uri="{FF2B5EF4-FFF2-40B4-BE49-F238E27FC236}">
              <a16:creationId xmlns:a16="http://schemas.microsoft.com/office/drawing/2014/main" id="{59E30676-A3C6-4915-B79F-2B318F0FD244}"/>
            </a:ext>
          </a:extLst>
        </xdr:cNvPr>
        <xdr:cNvSpPr/>
      </xdr:nvSpPr>
      <xdr:spPr>
        <a:xfrm>
          <a:off x="9201150" y="3436070"/>
          <a:ext cx="739775" cy="304080"/>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a:noFill/>
        <a:ln>
          <a:noFill/>
        </a:ln>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400" b="1" kern="1200"/>
            <a:t>No</a:t>
          </a:r>
        </a:p>
      </xdr:txBody>
    </xdr:sp>
    <xdr:clientData/>
  </xdr:twoCellAnchor>
  <xdr:twoCellAnchor>
    <xdr:from>
      <xdr:col>2</xdr:col>
      <xdr:colOff>3589060</xdr:colOff>
      <xdr:row>21</xdr:row>
      <xdr:rowOff>31166</xdr:rowOff>
    </xdr:from>
    <xdr:to>
      <xdr:col>3</xdr:col>
      <xdr:colOff>487249</xdr:colOff>
      <xdr:row>22</xdr:row>
      <xdr:rowOff>68826</xdr:rowOff>
    </xdr:to>
    <xdr:sp macro="" textlink="">
      <xdr:nvSpPr>
        <xdr:cNvPr id="22" name="Freeform: Shape 21">
          <a:extLst>
            <a:ext uri="{FF2B5EF4-FFF2-40B4-BE49-F238E27FC236}">
              <a16:creationId xmlns:a16="http://schemas.microsoft.com/office/drawing/2014/main" id="{05719F3A-E43A-4A7C-8023-68AB71DCB108}"/>
            </a:ext>
          </a:extLst>
        </xdr:cNvPr>
        <xdr:cNvSpPr/>
      </xdr:nvSpPr>
      <xdr:spPr>
        <a:xfrm>
          <a:off x="9256435" y="4222166"/>
          <a:ext cx="727239" cy="218635"/>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a:noFill/>
        <a:ln>
          <a:noFill/>
        </a:ln>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400" b="1" kern="1200"/>
            <a:t>Yes</a:t>
          </a:r>
        </a:p>
      </xdr:txBody>
    </xdr:sp>
    <xdr:clientData/>
  </xdr:twoCellAnchor>
  <xdr:twoCellAnchor>
    <xdr:from>
      <xdr:col>2</xdr:col>
      <xdr:colOff>73808</xdr:colOff>
      <xdr:row>27</xdr:row>
      <xdr:rowOff>48345</xdr:rowOff>
    </xdr:from>
    <xdr:to>
      <xdr:col>2</xdr:col>
      <xdr:colOff>1225550</xdr:colOff>
      <xdr:row>31</xdr:row>
      <xdr:rowOff>6350</xdr:rowOff>
    </xdr:to>
    <xdr:sp macro="" textlink="">
      <xdr:nvSpPr>
        <xdr:cNvPr id="23" name="Freeform: Shape 22">
          <a:extLst>
            <a:ext uri="{FF2B5EF4-FFF2-40B4-BE49-F238E27FC236}">
              <a16:creationId xmlns:a16="http://schemas.microsoft.com/office/drawing/2014/main" id="{A5DF668B-F887-4400-89E6-956FA00D87E9}"/>
            </a:ext>
          </a:extLst>
        </xdr:cNvPr>
        <xdr:cNvSpPr/>
      </xdr:nvSpPr>
      <xdr:spPr>
        <a:xfrm>
          <a:off x="5741183" y="5325195"/>
          <a:ext cx="1151742" cy="681905"/>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600" kern="1200"/>
            <a:t># of health facilities</a:t>
          </a:r>
          <a:r>
            <a:rPr lang="en-US" sz="1600" kern="1200" baseline="0"/>
            <a:t> </a:t>
          </a:r>
          <a:endParaRPr lang="en-US" sz="1600" kern="1200"/>
        </a:p>
      </xdr:txBody>
    </xdr:sp>
    <xdr:clientData/>
  </xdr:twoCellAnchor>
  <xdr:twoCellAnchor>
    <xdr:from>
      <xdr:col>2</xdr:col>
      <xdr:colOff>1600983</xdr:colOff>
      <xdr:row>27</xdr:row>
      <xdr:rowOff>48345</xdr:rowOff>
    </xdr:from>
    <xdr:to>
      <xdr:col>2</xdr:col>
      <xdr:colOff>2495550</xdr:colOff>
      <xdr:row>31</xdr:row>
      <xdr:rowOff>9525</xdr:rowOff>
    </xdr:to>
    <xdr:sp macro="" textlink="">
      <xdr:nvSpPr>
        <xdr:cNvPr id="24" name="Freeform: Shape 23">
          <a:extLst>
            <a:ext uri="{FF2B5EF4-FFF2-40B4-BE49-F238E27FC236}">
              <a16:creationId xmlns:a16="http://schemas.microsoft.com/office/drawing/2014/main" id="{669CBB1B-3B7A-4F59-9059-9BEEF1C51E74}"/>
            </a:ext>
          </a:extLst>
        </xdr:cNvPr>
        <xdr:cNvSpPr/>
      </xdr:nvSpPr>
      <xdr:spPr>
        <a:xfrm>
          <a:off x="7268358" y="5325195"/>
          <a:ext cx="894567" cy="685080"/>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600" kern="1200"/>
            <a:t># of HCWs </a:t>
          </a:r>
        </a:p>
      </xdr:txBody>
    </xdr:sp>
    <xdr:clientData/>
  </xdr:twoCellAnchor>
  <xdr:twoCellAnchor>
    <xdr:from>
      <xdr:col>2</xdr:col>
      <xdr:colOff>2847976</xdr:colOff>
      <xdr:row>27</xdr:row>
      <xdr:rowOff>38820</xdr:rowOff>
    </xdr:from>
    <xdr:to>
      <xdr:col>2</xdr:col>
      <xdr:colOff>3781426</xdr:colOff>
      <xdr:row>31</xdr:row>
      <xdr:rowOff>0</xdr:rowOff>
    </xdr:to>
    <xdr:sp macro="" textlink="">
      <xdr:nvSpPr>
        <xdr:cNvPr id="25" name="Freeform: Shape 24">
          <a:extLst>
            <a:ext uri="{FF2B5EF4-FFF2-40B4-BE49-F238E27FC236}">
              <a16:creationId xmlns:a16="http://schemas.microsoft.com/office/drawing/2014/main" id="{6624510C-6119-4D8D-A8B2-711B8BB64447}"/>
            </a:ext>
          </a:extLst>
        </xdr:cNvPr>
        <xdr:cNvSpPr/>
      </xdr:nvSpPr>
      <xdr:spPr>
        <a:xfrm>
          <a:off x="8515351" y="5315670"/>
          <a:ext cx="933450" cy="685080"/>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600" kern="1200"/>
            <a:t># of clients</a:t>
          </a:r>
        </a:p>
      </xdr:txBody>
    </xdr:sp>
    <xdr:clientData/>
  </xdr:twoCellAnchor>
  <xdr:twoCellAnchor>
    <xdr:from>
      <xdr:col>2</xdr:col>
      <xdr:colOff>1153308</xdr:colOff>
      <xdr:row>28</xdr:row>
      <xdr:rowOff>64220</xdr:rowOff>
    </xdr:from>
    <xdr:to>
      <xdr:col>2</xdr:col>
      <xdr:colOff>1724025</xdr:colOff>
      <xdr:row>30</xdr:row>
      <xdr:rowOff>6350</xdr:rowOff>
    </xdr:to>
    <xdr:sp macro="" textlink="">
      <xdr:nvSpPr>
        <xdr:cNvPr id="26" name="Freeform: Shape 25">
          <a:extLst>
            <a:ext uri="{FF2B5EF4-FFF2-40B4-BE49-F238E27FC236}">
              <a16:creationId xmlns:a16="http://schemas.microsoft.com/office/drawing/2014/main" id="{692A866E-85AE-454E-84FD-9C4676FF884F}"/>
            </a:ext>
          </a:extLst>
        </xdr:cNvPr>
        <xdr:cNvSpPr/>
      </xdr:nvSpPr>
      <xdr:spPr>
        <a:xfrm>
          <a:off x="6820683" y="5522045"/>
          <a:ext cx="570717" cy="304080"/>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a:noFill/>
        <a:ln>
          <a:noFill/>
        </a:ln>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400" b="1" kern="1200"/>
            <a:t>OR</a:t>
          </a:r>
        </a:p>
      </xdr:txBody>
    </xdr:sp>
    <xdr:clientData/>
  </xdr:twoCellAnchor>
  <xdr:twoCellAnchor>
    <xdr:from>
      <xdr:col>2</xdr:col>
      <xdr:colOff>2416958</xdr:colOff>
      <xdr:row>28</xdr:row>
      <xdr:rowOff>67395</xdr:rowOff>
    </xdr:from>
    <xdr:to>
      <xdr:col>2</xdr:col>
      <xdr:colOff>2987675</xdr:colOff>
      <xdr:row>30</xdr:row>
      <xdr:rowOff>9525</xdr:rowOff>
    </xdr:to>
    <xdr:sp macro="" textlink="">
      <xdr:nvSpPr>
        <xdr:cNvPr id="27" name="Freeform: Shape 26">
          <a:extLst>
            <a:ext uri="{FF2B5EF4-FFF2-40B4-BE49-F238E27FC236}">
              <a16:creationId xmlns:a16="http://schemas.microsoft.com/office/drawing/2014/main" id="{C2146523-9EAE-4A65-A3F7-876D8B372626}"/>
            </a:ext>
          </a:extLst>
        </xdr:cNvPr>
        <xdr:cNvSpPr/>
      </xdr:nvSpPr>
      <xdr:spPr>
        <a:xfrm>
          <a:off x="8084333" y="5525220"/>
          <a:ext cx="570717" cy="304080"/>
        </a:xfrm>
        <a:custGeom>
          <a:avLst/>
          <a:gdLst>
            <a:gd name="connsiteX0" fmla="*/ 0 w 2685450"/>
            <a:gd name="connsiteY0" fmla="*/ 0 h 1611270"/>
            <a:gd name="connsiteX1" fmla="*/ 2685450 w 2685450"/>
            <a:gd name="connsiteY1" fmla="*/ 0 h 1611270"/>
            <a:gd name="connsiteX2" fmla="*/ 2685450 w 2685450"/>
            <a:gd name="connsiteY2" fmla="*/ 1611270 h 1611270"/>
            <a:gd name="connsiteX3" fmla="*/ 0 w 2685450"/>
            <a:gd name="connsiteY3" fmla="*/ 1611270 h 1611270"/>
            <a:gd name="connsiteX4" fmla="*/ 0 w 2685450"/>
            <a:gd name="connsiteY4" fmla="*/ 0 h 16112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85450" h="1611270">
              <a:moveTo>
                <a:pt x="0" y="0"/>
              </a:moveTo>
              <a:lnTo>
                <a:pt x="2685450" y="0"/>
              </a:lnTo>
              <a:lnTo>
                <a:pt x="2685450" y="1611270"/>
              </a:lnTo>
              <a:lnTo>
                <a:pt x="0" y="1611270"/>
              </a:lnTo>
              <a:lnTo>
                <a:pt x="0" y="0"/>
              </a:lnTo>
              <a:close/>
            </a:path>
          </a:pathLst>
        </a:custGeom>
        <a:noFill/>
        <a:ln>
          <a:noFill/>
        </a:ln>
      </xdr:spPr>
      <xdr:style>
        <a:lnRef idx="2">
          <a:schemeClr val="accent5"/>
        </a:lnRef>
        <a:fillRef idx="1">
          <a:schemeClr val="lt1"/>
        </a:fillRef>
        <a:effectRef idx="0">
          <a:schemeClr val="accent5"/>
        </a:effectRef>
        <a:fontRef idx="minor">
          <a:schemeClr val="dk1"/>
        </a:fontRef>
      </xdr:style>
      <xdr: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en-US" sz="1400" b="1" kern="1200"/>
            <a:t>OR</a:t>
          </a:r>
        </a:p>
      </xdr:txBody>
    </xdr:sp>
    <xdr:clientData/>
  </xdr:twoCellAnchor>
  <xdr:twoCellAnchor>
    <xdr:from>
      <xdr:col>3</xdr:col>
      <xdr:colOff>209550</xdr:colOff>
      <xdr:row>1</xdr:row>
      <xdr:rowOff>19050</xdr:rowOff>
    </xdr:from>
    <xdr:to>
      <xdr:col>3</xdr:col>
      <xdr:colOff>419100</xdr:colOff>
      <xdr:row>4</xdr:row>
      <xdr:rowOff>342900</xdr:rowOff>
    </xdr:to>
    <xdr:sp macro="" textlink="">
      <xdr:nvSpPr>
        <xdr:cNvPr id="28" name="Right Brace 27">
          <a:extLst>
            <a:ext uri="{FF2B5EF4-FFF2-40B4-BE49-F238E27FC236}">
              <a16:creationId xmlns:a16="http://schemas.microsoft.com/office/drawing/2014/main" id="{4B2A7C13-914D-42C5-919C-9E52FE846B7F}"/>
            </a:ext>
          </a:extLst>
        </xdr:cNvPr>
        <xdr:cNvSpPr/>
      </xdr:nvSpPr>
      <xdr:spPr>
        <a:xfrm>
          <a:off x="9705975" y="200025"/>
          <a:ext cx="209550" cy="10572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24</xdr:row>
      <xdr:rowOff>447675</xdr:rowOff>
    </xdr:from>
    <xdr:to>
      <xdr:col>4</xdr:col>
      <xdr:colOff>2828925</xdr:colOff>
      <xdr:row>24</xdr:row>
      <xdr:rowOff>600075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10013D7-E2DD-BA46-849D-579D0A3D35C2}"/>
            </a:ext>
          </a:extLst>
        </xdr:cNvPr>
        <xdr:cNvSpPr/>
      </xdr:nvSpPr>
      <xdr:spPr>
        <a:xfrm>
          <a:off x="14503400" y="9413875"/>
          <a:ext cx="2828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24</xdr:row>
      <xdr:rowOff>387351</xdr:rowOff>
    </xdr:from>
    <xdr:to>
      <xdr:col>4</xdr:col>
      <xdr:colOff>2901950</xdr:colOff>
      <xdr:row>24</xdr:row>
      <xdr:rowOff>723901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9E3AA070-1637-E44A-8FA9-27E7A4C0F76F}"/>
            </a:ext>
          </a:extLst>
        </xdr:cNvPr>
        <xdr:cNvSpPr/>
      </xdr:nvSpPr>
      <xdr:spPr>
        <a:xfrm>
          <a:off x="14512925" y="9353551"/>
          <a:ext cx="2892425" cy="336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24</xdr:row>
      <xdr:rowOff>12698</xdr:rowOff>
    </xdr:from>
    <xdr:to>
      <xdr:col>4</xdr:col>
      <xdr:colOff>2914650</xdr:colOff>
      <xdr:row>24</xdr:row>
      <xdr:rowOff>380999</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D3AA8AE2-A488-1A4D-B85C-051EEF44E819}"/>
            </a:ext>
          </a:extLst>
        </xdr:cNvPr>
        <xdr:cNvSpPr/>
      </xdr:nvSpPr>
      <xdr:spPr>
        <a:xfrm>
          <a:off x="14503400" y="8978898"/>
          <a:ext cx="291465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21</xdr:row>
      <xdr:rowOff>12698</xdr:rowOff>
    </xdr:from>
    <xdr:to>
      <xdr:col>4</xdr:col>
      <xdr:colOff>2914650</xdr:colOff>
      <xdr:row>21</xdr:row>
      <xdr:rowOff>380999</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B549EED0-762E-6042-9A0C-53E369D27E38}"/>
            </a:ext>
          </a:extLst>
        </xdr:cNvPr>
        <xdr:cNvSpPr/>
      </xdr:nvSpPr>
      <xdr:spPr>
        <a:xfrm>
          <a:off x="14503400" y="7975598"/>
          <a:ext cx="291465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6349</xdr:colOff>
      <xdr:row>21</xdr:row>
      <xdr:rowOff>400050</xdr:rowOff>
    </xdr:from>
    <xdr:to>
      <xdr:col>4</xdr:col>
      <xdr:colOff>2733674</xdr:colOff>
      <xdr:row>21</xdr:row>
      <xdr:rowOff>714375</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0DD3B5A0-9AC3-B647-81C0-548656BCA273}"/>
            </a:ext>
          </a:extLst>
        </xdr:cNvPr>
        <xdr:cNvSpPr/>
      </xdr:nvSpPr>
      <xdr:spPr>
        <a:xfrm>
          <a:off x="14509749" y="8362950"/>
          <a:ext cx="2727325" cy="212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38</xdr:row>
      <xdr:rowOff>447675</xdr:rowOff>
    </xdr:from>
    <xdr:to>
      <xdr:col>4</xdr:col>
      <xdr:colOff>2828925</xdr:colOff>
      <xdr:row>38</xdr:row>
      <xdr:rowOff>600075</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A5FF7356-026D-5E4F-9015-6EB893E64BB2}"/>
            </a:ext>
          </a:extLst>
        </xdr:cNvPr>
        <xdr:cNvSpPr/>
      </xdr:nvSpPr>
      <xdr:spPr>
        <a:xfrm>
          <a:off x="14503400" y="16894175"/>
          <a:ext cx="2828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38</xdr:row>
      <xdr:rowOff>387351</xdr:rowOff>
    </xdr:from>
    <xdr:to>
      <xdr:col>4</xdr:col>
      <xdr:colOff>2901950</xdr:colOff>
      <xdr:row>38</xdr:row>
      <xdr:rowOff>723901</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F1D0D8C8-7CFC-314B-924D-DDBE1F14CE34}"/>
            </a:ext>
          </a:extLst>
        </xdr:cNvPr>
        <xdr:cNvSpPr/>
      </xdr:nvSpPr>
      <xdr:spPr>
        <a:xfrm>
          <a:off x="14512925" y="16833851"/>
          <a:ext cx="2892425" cy="336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38</xdr:row>
      <xdr:rowOff>12698</xdr:rowOff>
    </xdr:from>
    <xdr:to>
      <xdr:col>4</xdr:col>
      <xdr:colOff>2914650</xdr:colOff>
      <xdr:row>38</xdr:row>
      <xdr:rowOff>380999</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651B5553-0A99-A248-B7A3-3B1D8367F1CE}"/>
            </a:ext>
          </a:extLst>
        </xdr:cNvPr>
        <xdr:cNvSpPr/>
      </xdr:nvSpPr>
      <xdr:spPr>
        <a:xfrm>
          <a:off x="14503400" y="16459198"/>
          <a:ext cx="291465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55</xdr:row>
      <xdr:rowOff>447675</xdr:rowOff>
    </xdr:from>
    <xdr:to>
      <xdr:col>4</xdr:col>
      <xdr:colOff>2828925</xdr:colOff>
      <xdr:row>55</xdr:row>
      <xdr:rowOff>600075</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A3212FB0-8B36-834D-B135-BFA0BD86B5CA}"/>
            </a:ext>
          </a:extLst>
        </xdr:cNvPr>
        <xdr:cNvSpPr/>
      </xdr:nvSpPr>
      <xdr:spPr>
        <a:xfrm>
          <a:off x="14503400" y="24780875"/>
          <a:ext cx="2828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55</xdr:row>
      <xdr:rowOff>387351</xdr:rowOff>
    </xdr:from>
    <xdr:to>
      <xdr:col>4</xdr:col>
      <xdr:colOff>2901950</xdr:colOff>
      <xdr:row>55</xdr:row>
      <xdr:rowOff>723901</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2656F8B0-834C-AB42-864B-5389CB72FFD0}"/>
            </a:ext>
          </a:extLst>
        </xdr:cNvPr>
        <xdr:cNvSpPr/>
      </xdr:nvSpPr>
      <xdr:spPr>
        <a:xfrm>
          <a:off x="14512925" y="24720551"/>
          <a:ext cx="2892425" cy="222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55</xdr:row>
      <xdr:rowOff>12698</xdr:rowOff>
    </xdr:from>
    <xdr:to>
      <xdr:col>4</xdr:col>
      <xdr:colOff>2914650</xdr:colOff>
      <xdr:row>55</xdr:row>
      <xdr:rowOff>380999</xdr:rowOff>
    </xdr:to>
    <xdr:sp macro="" textlink="">
      <xdr:nvSpPr>
        <xdr:cNvPr id="12" name="Rectangle 11">
          <a:hlinkClick xmlns:r="http://schemas.openxmlformats.org/officeDocument/2006/relationships" r:id="rId3"/>
          <a:extLst>
            <a:ext uri="{FF2B5EF4-FFF2-40B4-BE49-F238E27FC236}">
              <a16:creationId xmlns:a16="http://schemas.microsoft.com/office/drawing/2014/main" id="{25A1AAB0-1509-EA4F-ABB6-B05BCED546FD}"/>
            </a:ext>
          </a:extLst>
        </xdr:cNvPr>
        <xdr:cNvSpPr/>
      </xdr:nvSpPr>
      <xdr:spPr>
        <a:xfrm>
          <a:off x="14503400" y="24345898"/>
          <a:ext cx="291465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63</xdr:row>
      <xdr:rowOff>447675</xdr:rowOff>
    </xdr:from>
    <xdr:to>
      <xdr:col>4</xdr:col>
      <xdr:colOff>2828925</xdr:colOff>
      <xdr:row>63</xdr:row>
      <xdr:rowOff>600075</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1B2A8E3A-7A24-BA47-93C7-994B0929DC28}"/>
            </a:ext>
          </a:extLst>
        </xdr:cNvPr>
        <xdr:cNvSpPr/>
      </xdr:nvSpPr>
      <xdr:spPr>
        <a:xfrm>
          <a:off x="14503400" y="27397075"/>
          <a:ext cx="28289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xdr:colOff>
      <xdr:row>63</xdr:row>
      <xdr:rowOff>387351</xdr:rowOff>
    </xdr:from>
    <xdr:to>
      <xdr:col>4</xdr:col>
      <xdr:colOff>2901950</xdr:colOff>
      <xdr:row>63</xdr:row>
      <xdr:rowOff>723901</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808E1A35-A9F6-4548-8649-60DBF4B48689}"/>
            </a:ext>
          </a:extLst>
        </xdr:cNvPr>
        <xdr:cNvSpPr/>
      </xdr:nvSpPr>
      <xdr:spPr>
        <a:xfrm>
          <a:off x="14512925" y="27336751"/>
          <a:ext cx="2892425" cy="222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0</xdr:colOff>
      <xdr:row>63</xdr:row>
      <xdr:rowOff>12698</xdr:rowOff>
    </xdr:from>
    <xdr:to>
      <xdr:col>4</xdr:col>
      <xdr:colOff>2914650</xdr:colOff>
      <xdr:row>63</xdr:row>
      <xdr:rowOff>380999</xdr:rowOff>
    </xdr:to>
    <xdr:sp macro="" textlink="">
      <xdr:nvSpPr>
        <xdr:cNvPr id="15" name="Rectangle 14">
          <a:hlinkClick xmlns:r="http://schemas.openxmlformats.org/officeDocument/2006/relationships" r:id="rId3"/>
          <a:extLst>
            <a:ext uri="{FF2B5EF4-FFF2-40B4-BE49-F238E27FC236}">
              <a16:creationId xmlns:a16="http://schemas.microsoft.com/office/drawing/2014/main" id="{AC140256-41A5-A248-8656-F1F408FAAA7A}"/>
            </a:ext>
          </a:extLst>
        </xdr:cNvPr>
        <xdr:cNvSpPr/>
      </xdr:nvSpPr>
      <xdr:spPr>
        <a:xfrm>
          <a:off x="14503400" y="26962098"/>
          <a:ext cx="2914650" cy="3683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1</xdr:row>
      <xdr:rowOff>12700</xdr:rowOff>
    </xdr:from>
    <xdr:to>
      <xdr:col>0</xdr:col>
      <xdr:colOff>2781300</xdr:colOff>
      <xdr:row>3</xdr:row>
      <xdr:rowOff>165100</xdr:rowOff>
    </xdr:to>
    <xdr:sp macro="" textlink="">
      <xdr:nvSpPr>
        <xdr:cNvPr id="17" name="Rounded Rectangle 16">
          <a:hlinkClick xmlns:r="http://schemas.openxmlformats.org/officeDocument/2006/relationships" r:id="rId5" tooltip="Go to Input sheet"/>
          <a:extLst>
            <a:ext uri="{FF2B5EF4-FFF2-40B4-BE49-F238E27FC236}">
              <a16:creationId xmlns:a16="http://schemas.microsoft.com/office/drawing/2014/main" id="{9F0983EC-E86B-B843-BA97-2A6407A5CC32}"/>
            </a:ext>
          </a:extLst>
        </xdr:cNvPr>
        <xdr:cNvSpPr/>
      </xdr:nvSpPr>
      <xdr:spPr>
        <a:xfrm>
          <a:off x="0" y="317500"/>
          <a:ext cx="2781300" cy="533400"/>
        </a:xfrm>
        <a:prstGeom prst="roundRect">
          <a:avLst/>
        </a:prstGeom>
        <a:solidFill>
          <a:srgbClr val="42536B"/>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lang="en-US" sz="1600" b="1">
              <a:solidFill>
                <a:schemeClr val="bg1"/>
              </a:solidFill>
            </a:rPr>
            <a:t>Go back to Input sheet</a:t>
          </a:r>
          <a:endParaRPr lang="en-US" sz="1200">
            <a:solidFill>
              <a:schemeClr val="bg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12700</xdr:rowOff>
    </xdr:from>
    <xdr:to>
      <xdr:col>0</xdr:col>
      <xdr:colOff>2781300</xdr:colOff>
      <xdr:row>4</xdr:row>
      <xdr:rowOff>165100</xdr:rowOff>
    </xdr:to>
    <xdr:sp macro="" textlink="">
      <xdr:nvSpPr>
        <xdr:cNvPr id="2" name="Rounded Rectangle 1">
          <a:hlinkClick xmlns:r="http://schemas.openxmlformats.org/officeDocument/2006/relationships" r:id="rId1" tooltip="Go to Input sheet"/>
          <a:extLst>
            <a:ext uri="{FF2B5EF4-FFF2-40B4-BE49-F238E27FC236}">
              <a16:creationId xmlns:a16="http://schemas.microsoft.com/office/drawing/2014/main" id="{D41881B4-AAE6-9141-AC5F-951B6FAB4D1C}"/>
            </a:ext>
          </a:extLst>
        </xdr:cNvPr>
        <xdr:cNvSpPr/>
      </xdr:nvSpPr>
      <xdr:spPr>
        <a:xfrm>
          <a:off x="0" y="317500"/>
          <a:ext cx="2781300" cy="533400"/>
        </a:xfrm>
        <a:prstGeom prst="roundRect">
          <a:avLst/>
        </a:prstGeom>
        <a:solidFill>
          <a:srgbClr val="42536B"/>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lang="en-US" sz="1600" b="1">
              <a:solidFill>
                <a:schemeClr val="bg1"/>
              </a:solidFill>
            </a:rPr>
            <a:t>Go back to Input sheet</a:t>
          </a:r>
          <a:endParaRPr lang="en-US" sz="12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i.box.com/Volumes/GoogleDrive/My%20Drive/PATH/5.%20BMGF-DICE/TCO/TCO_v1.0_2022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O_v1.0_20221129"/>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Jenna Fritz" id="{80F54E89-0D5A-408E-BECD-6FA5B769288A}" userId="S::jfritz@path.org::8bfb85ae-0e2a-45e6-8fc6-3c1016f78b2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544CE2A-19BB-48BB-B03F-24F158077BE0}" name="Table3" displayName="Table3" ref="B2:B4" totalsRowShown="0">
  <autoFilter ref="B2:B4" xr:uid="{4544CE2A-19BB-48BB-B03F-24F158077BE0}"/>
  <tableColumns count="1">
    <tableColumn id="1" xr3:uid="{9FD444A8-1B6A-4C80-89A3-86E0625F3CF8}" name="Hosting selected"/>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26660A6-835C-4E45-A61D-D23B7333DB6D}" name="Table4" displayName="Table4" ref="D2:D5" totalsRowShown="0">
  <autoFilter ref="D2:D5" xr:uid="{526660A6-835C-4E45-A61D-D23B7333DB6D}"/>
  <tableColumns count="1">
    <tableColumn id="1" xr3:uid="{89C25CE9-8D56-4164-8452-AEE64AF763FF}" name="Hosting list"/>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DB47577-11F9-4376-B077-AAD8D3F1F4B1}" name="Table6" displayName="Table6" ref="B8:D10" totalsRowShown="0" tableBorderDxfId="109">
  <autoFilter ref="B8:D10" xr:uid="{5DB47577-11F9-4376-B077-AAD8D3F1F4B1}"/>
  <tableColumns count="3">
    <tableColumn id="1" xr3:uid="{B8A15F9F-99C3-4AD2-AC07-03F5147E99E5}" name="Hosting in-house on premise"/>
    <tableColumn id="2" xr3:uid="{671A1289-74F0-4A81-BE05-7FFB60257A50}" name="Hosting offsite at data center"/>
    <tableColumn id="3" xr3:uid="{C4B967EE-2BA6-4487-B25A-8BB85937C0B5}" name="Hosting through a third-party cloud service (local or international)"/>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4D4380-B698-4627-923D-FA6100DF2531}" name="Table1" displayName="Table1" ref="A2:K159" totalsRowShown="0" dataDxfId="108">
  <autoFilter ref="A2:K159" xr:uid="{B24D4380-B698-4627-923D-FA6100DF2531}"/>
  <sortState xmlns:xlrd2="http://schemas.microsoft.com/office/spreadsheetml/2017/richdata2" ref="A3:B159">
    <sortCondition ref="A2:A159"/>
  </sortState>
  <tableColumns count="11">
    <tableColumn id="1" xr3:uid="{492BA5B2-35AE-428F-A701-9C001EBF97B0}" name="Country" dataDxfId="107"/>
    <tableColumn id="2" xr3:uid="{42AD0E7A-0686-44BB-B813-5319875843D2}" name="Market Segment Maturity" dataDxfId="106"/>
    <tableColumn id="3" xr3:uid="{86DC7E04-ACA1-4CBE-8BE8-2E868FE9CFC2}" name="currency" dataDxfId="105"/>
    <tableColumn id="4" xr3:uid="{887A6DC5-9AAA-4A3D-89C7-D8BB8844B157}" name="5" dataDxfId="104"/>
    <tableColumn id="5" xr3:uid="{B7D941CD-9658-4ECF-B44F-117F2BFD834F}" name="6" dataDxfId="103"/>
    <tableColumn id="6" xr3:uid="{C69F5E73-165E-40C4-BC33-432D36091C5C}" name="7" dataDxfId="102"/>
    <tableColumn id="7" xr3:uid="{E056347D-C972-4AB6-A128-9B67A50D5E00}" name="NO-A" dataDxfId="101"/>
    <tableColumn id="8" xr3:uid="{6FF1484A-971B-403F-AADF-6F329AB24EB6}" name="NO-B" dataDxfId="100"/>
    <tableColumn id="9" xr3:uid="{CB644DA7-2A17-4A24-BDE2-AF2D5494343B}" name="NO-C" dataDxfId="99"/>
    <tableColumn id="10" xr3:uid="{335FD359-0333-4985-A867-CA11E3385007}" name="NO-D" dataDxfId="98"/>
    <tableColumn id="11" xr3:uid="{5886F4EC-7027-4A11-8CA9-F63714BBC811}" name="Multiplier" dataDxfId="97"/>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8" dT="2021-09-16T15:10:37.77" personId="{80F54E89-0D5A-408E-BECD-6FA5B769288A}" id="{CCBFAEB8-58C0-4147-AA84-E31EE63BA0AF}">
    <text>Instead of some of these scenarios, could simply have notes next to each option so the tool itself would not adjust but the user could see how costs would change based on these options.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G1" dT="2021-09-09T16:30:39.45" personId="{80F54E89-0D5A-408E-BECD-6FA5B769288A}" id="{0DB25C53-72D3-4912-8133-EB6785EC099A}">
    <text>There are more details in the Excel document (https://path.ent.box.com/file/756319051601?s=jaq3x54uwhr3m8n1y9bwdsspy9582nr0) and the report which I believe are linked (https://path.ent.box.com/file/756317862355?s=505jnhxy8fkcug44tkbf74bnwhw3aoph). I added what seemed reasonable from these documents. The report also has which costs will be different based on build/buy/outsource.</text>
  </threadedComment>
  <threadedComment ref="K1" dT="2021-09-09T23:13:44.43" personId="{80F54E89-0D5A-408E-BECD-6FA5B769288A}" id="{85F5E5B9-03D5-490D-BF84-34CB5E36F4E7}">
    <text>I had a hard time mapping these to the other ones since the categories are so broad and cross cutting.</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gitalSquareTCO@path.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8" Type="http://schemas.openxmlformats.org/officeDocument/2006/relationships/hyperlink" Target="https://static1.squarespace.com/static/59bc3457ccc5c5890fe7cacd/t/60f85f249f074421d46b1f5d/1626890024524/Digital+Square+Vital+Wave+TCO+Reference+Document_final.pdf" TargetMode="External"/><Relationship Id="rId13" Type="http://schemas.openxmlformats.org/officeDocument/2006/relationships/hyperlink" Target="https://static1.squarespace.com/static/59bc3457ccc5c5890fe7cacd/t/60f85f249f074421d46b1f5d/1626890024524/Digital+Square+Vital+Wave+TCO+Reference+Document_final.pdf" TargetMode="External"/><Relationship Id="rId18" Type="http://schemas.openxmlformats.org/officeDocument/2006/relationships/hyperlink" Target="https://static1.squarespace.com/static/59bc3457ccc5c5890fe7cacd/t/60f85f249f074421d46b1f5d/1626890024524/Digital+Square+Vital+Wave+TCO+Reference+Document_final.pdf" TargetMode="External"/><Relationship Id="rId3" Type="http://schemas.openxmlformats.org/officeDocument/2006/relationships/hyperlink" Target="https://static1.squarespace.com/static/59bc3457ccc5c5890fe7cacd/t/60f85f249f074421d46b1f5d/1626890024524/Digital+Square+Vital+Wave+TCO+Reference+Document_final.pdf" TargetMode="External"/><Relationship Id="rId7" Type="http://schemas.openxmlformats.org/officeDocument/2006/relationships/hyperlink" Target="https://static1.squarespace.com/static/59bc3457ccc5c5890fe7cacd/t/60f85f249f074421d46b1f5d/1626890024524/Digital+Square+Vital+Wave+TCO+Reference+Document_final.pdf" TargetMode="External"/><Relationship Id="rId12" Type="http://schemas.openxmlformats.org/officeDocument/2006/relationships/hyperlink" Target="https://static1.squarespace.com/static/59bc3457ccc5c5890fe7cacd/t/60f85f249f074421d46b1f5d/1626890024524/Digital+Square+Vital+Wave+TCO+Reference+Document_final.pdf" TargetMode="External"/><Relationship Id="rId17" Type="http://schemas.openxmlformats.org/officeDocument/2006/relationships/hyperlink" Target="https://path.azureedge.net/media/documents/Tanzania_Digital_Health_Investment_Road_Map.2017_to_2023.pdf" TargetMode="External"/><Relationship Id="rId2" Type="http://schemas.openxmlformats.org/officeDocument/2006/relationships/hyperlink" Target="https://www.dimagi.com/toolkits/total-cost-ownership/" TargetMode="External"/><Relationship Id="rId16" Type="http://schemas.openxmlformats.org/officeDocument/2006/relationships/hyperlink" Target="https://static1.squarespace.com/static/59bc3457ccc5c5890fe7cacd/t/60f85f249f074421d46b1f5d/1626890024524/Digital+Square+Vital+Wave+TCO+Reference+Document_final.pdf" TargetMode="External"/><Relationship Id="rId1" Type="http://schemas.openxmlformats.org/officeDocument/2006/relationships/hyperlink" Target="https://static1.squarespace.com/static/59bc3457ccc5c5890fe7cacd/t/60f85f249f074421d46b1f5d/1626890024524/Digital+Square+Vital+Wave+TCO+Reference+Document_final.pdf" TargetMode="External"/><Relationship Id="rId6" Type="http://schemas.openxmlformats.org/officeDocument/2006/relationships/hyperlink" Target="https://static1.squarespace.com/static/59bc3457ccc5c5890fe7cacd/t/60f85f249f074421d46b1f5d/1626890024524/Digital+Square+Vital+Wave+TCO+Reference+Document_final.pdf" TargetMode="External"/><Relationship Id="rId11" Type="http://schemas.openxmlformats.org/officeDocument/2006/relationships/hyperlink" Target="https://static1.squarespace.com/static/59bc3457ccc5c5890fe7cacd/t/60f85f249f074421d46b1f5d/1626890024524/Digital+Square+Vital+Wave+TCO+Reference+Document_final.pdf" TargetMode="External"/><Relationship Id="rId5" Type="http://schemas.openxmlformats.org/officeDocument/2006/relationships/hyperlink" Target="https://www.dimagi.com/toolkits/total-cost-ownership/" TargetMode="External"/><Relationship Id="rId15" Type="http://schemas.openxmlformats.org/officeDocument/2006/relationships/hyperlink" Target="https://static1.squarespace.com/static/59bc3457ccc5c5890fe7cacd/t/60f85f249f074421d46b1f5d/1626890024524/Digital+Square+Vital+Wave+TCO+Reference+Document_final.pdf" TargetMode="External"/><Relationship Id="rId10" Type="http://schemas.openxmlformats.org/officeDocument/2006/relationships/hyperlink" Target="https://path.azureedge.net/media/documents/Tanzania_Digital_Health_Investment_Road_Map.2017_to_2023.pdf" TargetMode="External"/><Relationship Id="rId19" Type="http://schemas.openxmlformats.org/officeDocument/2006/relationships/drawing" Target="../drawings/drawing8.xml"/><Relationship Id="rId4" Type="http://schemas.openxmlformats.org/officeDocument/2006/relationships/hyperlink" Target="https://www.dimagi.com/toolkits/total-cost-ownership/" TargetMode="External"/><Relationship Id="rId9" Type="http://schemas.openxmlformats.org/officeDocument/2006/relationships/hyperlink" Target="https://static1.squarespace.com/static/59bc3457ccc5c5890fe7cacd/t/60f85f249f074421d46b1f5d/1626890024524/Digital+Square+Vital+Wave+TCO+Reference+Document_final.pdf" TargetMode="External"/><Relationship Id="rId14" Type="http://schemas.openxmlformats.org/officeDocument/2006/relationships/hyperlink" Target="https://path.azureedge.net/media/documents/Tanzania_Digital_Health_Investment_Road_Map.2017_to_2023.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igitalsquare.org/market-analytics" TargetMode="External"/><Relationship Id="rId3" Type="http://schemas.openxmlformats.org/officeDocument/2006/relationships/hyperlink" Target="https://www.dimagi.com/toolkits/total-cost-ownership/" TargetMode="External"/><Relationship Id="rId7" Type="http://schemas.openxmlformats.org/officeDocument/2006/relationships/hyperlink" Target="http://sil-asia.org/costing-tool/" TargetMode="External"/><Relationship Id="rId2" Type="http://schemas.openxmlformats.org/officeDocument/2006/relationships/hyperlink" Target="https://static1.squarespace.com/static/59bc3457ccc5c5890fe7cacd/t/60f85f249f074421d46b1f5d/1626890024524/Digital+Square+Vital+Wave+TCO+Reference+Document_final.pdf" TargetMode="External"/><Relationship Id="rId1" Type="http://schemas.openxmlformats.org/officeDocument/2006/relationships/hyperlink" Target="https://digitalsquare.org/digital-health-global-goods" TargetMode="External"/><Relationship Id="rId6" Type="http://schemas.openxmlformats.org/officeDocument/2006/relationships/hyperlink" Target="https://www.adb.org/sites/default/files/publication/465611/sdwp-057-digital-health-impact-framework-manual.pdf" TargetMode="External"/><Relationship Id="rId11" Type="http://schemas.openxmlformats.org/officeDocument/2006/relationships/drawing" Target="../drawings/drawing2.xml"/><Relationship Id="rId5" Type="http://schemas.openxmlformats.org/officeDocument/2006/relationships/hyperlink" Target="https://www.path.org/resources/planning-an-information-systems-project-a-toolkit-for-public-health-managers/" TargetMode="External"/><Relationship Id="rId10" Type="http://schemas.openxmlformats.org/officeDocument/2006/relationships/printerSettings" Target="../printerSettings/printerSettings2.bin"/><Relationship Id="rId4" Type="http://schemas.openxmlformats.org/officeDocument/2006/relationships/hyperlink" Target="https://www.who.int/publications/i/item/9789240010567" TargetMode="External"/><Relationship Id="rId9" Type="http://schemas.openxmlformats.org/officeDocument/2006/relationships/hyperlink" Target="https://www.path.org/programs/digital-health/data-use-partnership/" TargetMode="External"/></Relationships>
</file>

<file path=xl/worksheets/_rels/sheet20.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digitalsquare.org/market-analytics" TargetMode="External"/><Relationship Id="rId7" Type="http://schemas.openxmlformats.org/officeDocument/2006/relationships/drawing" Target="../drawings/drawing9.xml"/><Relationship Id="rId2" Type="http://schemas.openxmlformats.org/officeDocument/2006/relationships/hyperlink" Target="https://academic.oup.com/heapol/article/35/1/107/5591528" TargetMode="External"/><Relationship Id="rId1" Type="http://schemas.openxmlformats.org/officeDocument/2006/relationships/hyperlink" Target="https://www1.oanda.com/currency/converter/" TargetMode="External"/><Relationship Id="rId6" Type="http://schemas.openxmlformats.org/officeDocument/2006/relationships/printerSettings" Target="../printerSettings/printerSettings14.bin"/><Relationship Id="rId5" Type="http://schemas.openxmlformats.org/officeDocument/2006/relationships/hyperlink" Target="https://static1.squarespace.com/static/59bc3457ccc5c5890fe7cacd/t/60f85f249f074421d46b1f5d/1626890024524/Digital+Square+Vital+Wave+TCO+Reference+Document_final.pdf" TargetMode="External"/><Relationship Id="rId4" Type="http://schemas.openxmlformats.org/officeDocument/2006/relationships/hyperlink" Target="https://static1.squarespace.com/static/59bc3457ccc5c5890fe7cacd/t/60f85f249f074421d46b1f5d/1626890024524/Digital+Square+Vital+Wave+TCO+Reference+Document_final.pdf" TargetMode="External"/><Relationship Id="rId9"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hyperlink" Target="https://static1.squarespace.com/static/59bc3457ccc5c5890fe7cacd/t/60f85f249f074421d46b1f5d/1626890024524/Digital+Square+Vital+Wave+TCO+Reference+Document_final.pdf" TargetMode="External"/><Relationship Id="rId1" Type="http://schemas.openxmlformats.org/officeDocument/2006/relationships/hyperlink" Target="https://static1.squarespace.com/static/59bc3457ccc5c5890fe7cacd/t/60f85f249f074421d46b1f5d/1626890024524/Digital+Square+Vital+Wave+TCO+Reference+Document_final.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path.azureedge.net/media/documents/Tanzania_Digital_Health_Investment_Road_Map.2017_to_2023.pdf" TargetMode="External"/><Relationship Id="rId13" Type="http://schemas.openxmlformats.org/officeDocument/2006/relationships/hyperlink" Target="https://www.adb.org/sites/default/files/publication/465611/sdwp-057-digital-health-impact-framework-manual.pdf" TargetMode="External"/><Relationship Id="rId18" Type="http://schemas.openxmlformats.org/officeDocument/2006/relationships/hyperlink" Target="https://www.dimagi.com/toolkits/total-cost-ownership/" TargetMode="External"/><Relationship Id="rId3" Type="http://schemas.openxmlformats.org/officeDocument/2006/relationships/hyperlink" Target="https://static1.squarespace.com/static/59bc3457ccc5c5890fe7cacd/t/60f85f249f074421d46b1f5d/1626890024524/Digital+Square+Vital+Wave+TCO+Reference+Document_final.pdf" TargetMode="External"/><Relationship Id="rId7" Type="http://schemas.openxmlformats.org/officeDocument/2006/relationships/hyperlink" Target="https://static1.squarespace.com/static/59bc3457ccc5c5890fe7cacd/t/60f85f249f074421d46b1f5d/1626890024524/Digital+Square+Vital+Wave+TCO+Reference+Document_final.pdf" TargetMode="External"/><Relationship Id="rId12" Type="http://schemas.openxmlformats.org/officeDocument/2006/relationships/hyperlink" Target="https://www.who.int/publications/i/item/9789240010567" TargetMode="External"/><Relationship Id="rId17" Type="http://schemas.openxmlformats.org/officeDocument/2006/relationships/hyperlink" Target="https://www.dimagi.com/toolkits/total-cost-ownership/" TargetMode="External"/><Relationship Id="rId2" Type="http://schemas.openxmlformats.org/officeDocument/2006/relationships/hyperlink" Target="https://static1.squarespace.com/static/59bc3457ccc5c5890fe7cacd/t/60f85f249f074421d46b1f5d/1626890024524/Digital+Square+Vital+Wave+TCO+Reference+Document_final.pdf" TargetMode="External"/><Relationship Id="rId16" Type="http://schemas.openxmlformats.org/officeDocument/2006/relationships/hyperlink" Target="https://path.azureedge.net/media/documents/Tanzania_Digital_Health_Investment_Road_Map.2017_to_2023.pdf" TargetMode="External"/><Relationship Id="rId20" Type="http://schemas.openxmlformats.org/officeDocument/2006/relationships/drawing" Target="../drawings/drawing11.xml"/><Relationship Id="rId1" Type="http://schemas.openxmlformats.org/officeDocument/2006/relationships/hyperlink" Target="https://path.azureedge.net/media/documents/Tanzania_Digital_Health_Investment_Road_Map.2017_to_2023.pdf" TargetMode="External"/><Relationship Id="rId6" Type="http://schemas.openxmlformats.org/officeDocument/2006/relationships/hyperlink" Target="https://static1.squarespace.com/static/59bc3457ccc5c5890fe7cacd/t/60f85f249f074421d46b1f5d/1626890024524/Digital+Square+Vital+Wave+TCO+Reference+Document_final.pdf" TargetMode="External"/><Relationship Id="rId11" Type="http://schemas.openxmlformats.org/officeDocument/2006/relationships/hyperlink" Target="https://path.azureedge.net/media/documents/Tanzania_Digital_Health_Investment_Road_Map.2017_to_2023.pdf" TargetMode="External"/><Relationship Id="rId5" Type="http://schemas.openxmlformats.org/officeDocument/2006/relationships/hyperlink" Target="https://www.dimagi.com/toolkits/total-cost-ownership/" TargetMode="External"/><Relationship Id="rId15" Type="http://schemas.openxmlformats.org/officeDocument/2006/relationships/hyperlink" Target="https://static1.squarespace.com/static/59bc3457ccc5c5890fe7cacd/t/60f85f249f074421d46b1f5d/1626890024524/Digital+Square+Vital+Wave+TCO+Reference+Document_final.pdf" TargetMode="External"/><Relationship Id="rId10" Type="http://schemas.openxmlformats.org/officeDocument/2006/relationships/hyperlink" Target="https://static1.squarespace.com/static/59bc3457ccc5c5890fe7cacd/t/60f85f249f074421d46b1f5d/1626890024524/Digital+Square+Vital+Wave+TCO+Reference+Document_final.pdf" TargetMode="External"/><Relationship Id="rId19" Type="http://schemas.openxmlformats.org/officeDocument/2006/relationships/hyperlink" Target="https://static1.squarespace.com/static/59bc3457ccc5c5890fe7cacd/t/60f85f249f074421d46b1f5d/1626890024524/Digital+Square+Vital+Wave+TCO+Reference+Document_final.pdf" TargetMode="External"/><Relationship Id="rId4" Type="http://schemas.openxmlformats.org/officeDocument/2006/relationships/hyperlink" Target="https://static1.squarespace.com/static/59bc3457ccc5c5890fe7cacd/t/60f85f249f074421d46b1f5d/1626890024524/Digital+Square+Vital+Wave+TCO+Reference+Document_final.pdf" TargetMode="External"/><Relationship Id="rId9" Type="http://schemas.openxmlformats.org/officeDocument/2006/relationships/hyperlink" Target="https://static1.squarespace.com/static/59bc3457ccc5c5890fe7cacd/t/60f85f249f074421d46b1f5d/1626890024524/Digital+Square+Vital+Wave+TCO+Reference+Document_final.pdf" TargetMode="External"/><Relationship Id="rId14" Type="http://schemas.openxmlformats.org/officeDocument/2006/relationships/hyperlink" Target="https://static1.squarespace.com/static/59bc3457ccc5c5890fe7cacd/t/60f85f249f074421d46b1f5d/1626890024524/Digital+Square+Vital+Wave+TCO+Reference+Document_final.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abdul/Library/Containers/com.microsoft.Excel/Data/Library/Application%20Support/Microsoft/Salary%20data.xlsx" TargetMode="External"/><Relationship Id="rId2" Type="http://schemas.openxmlformats.org/officeDocument/2006/relationships/hyperlink" Target="https://digitalsquare.org/market-analytics" TargetMode="External"/><Relationship Id="rId1" Type="http://schemas.openxmlformats.org/officeDocument/2006/relationships/hyperlink" Target="../../../../../abdul/Library/Containers/com.microsoft.Excel/Data/Library/Application%20Support/Microsoft/%20https/www.fao.org/3/bt976e/bt976e.pdf" TargetMode="External"/><Relationship Id="rId5" Type="http://schemas.openxmlformats.org/officeDocument/2006/relationships/table" Target="../tables/table4.xml"/><Relationship Id="rId4" Type="http://schemas.openxmlformats.org/officeDocument/2006/relationships/hyperlink" Target="https://icsc.un.org/Home/GetDataFile/6737" TargetMode="External"/></Relationships>
</file>

<file path=xl/worksheets/_rels/sheet24.xml.rels><?xml version="1.0" encoding="UTF-8" standalone="yes"?>
<Relationships xmlns="http://schemas.openxmlformats.org/package/2006/relationships"><Relationship Id="rId2" Type="http://schemas.openxmlformats.org/officeDocument/2006/relationships/hyperlink" Target="https://icsc.un.org/Home/GetDataFile/6737" TargetMode="External"/><Relationship Id="rId1" Type="http://schemas.openxmlformats.org/officeDocument/2006/relationships/hyperlink" Target="https://www.un.org/Depts/OHRM/salaries_allowances/salary.htm" TargetMode="Externa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 Id="rId4" Type="http://schemas.microsoft.com/office/2017/10/relationships/threadedComment" Target="../threadedComments/threadedComment1.xml"/></Relationships>
</file>

<file path=xl/worksheets/_rels/sheet26.xml.rels><?xml version="1.0" encoding="UTF-8" standalone="yes"?>
<Relationships xmlns="http://schemas.openxmlformats.org/package/2006/relationships"><Relationship Id="rId8" Type="http://schemas.openxmlformats.org/officeDocument/2006/relationships/hyperlink" Target="https://path.ent.box.com/file/874998519412?s=o3g41vb6kcigi2qczsgxnst40zkxki6r" TargetMode="External"/><Relationship Id="rId13" Type="http://schemas.openxmlformats.org/officeDocument/2006/relationships/hyperlink" Target="https://www.dimagi.com/toolkits/total-cost-ownership/" TargetMode="External"/><Relationship Id="rId18" Type="http://schemas.openxmlformats.org/officeDocument/2006/relationships/hyperlink" Target="https://path.ent.box.com/file/874998519412?s=o3g41vb6kcigi2qczsgxnst40zkxki6r" TargetMode="External"/><Relationship Id="rId3" Type="http://schemas.openxmlformats.org/officeDocument/2006/relationships/hyperlink" Target="https://path.ent.box.com/file/874998519412?s=o3g41vb6kcigi2qczsgxnst40zkxki6r" TargetMode="External"/><Relationship Id="rId21" Type="http://schemas.openxmlformats.org/officeDocument/2006/relationships/hyperlink" Target="https://path.ent.box.com/file/874998519412?s=o3g41vb6kcigi2qczsgxnst40zkxki6r" TargetMode="External"/><Relationship Id="rId7" Type="http://schemas.openxmlformats.org/officeDocument/2006/relationships/hyperlink" Target="http://sil-asia.org/costing-tool/" TargetMode="External"/><Relationship Id="rId12" Type="http://schemas.openxmlformats.org/officeDocument/2006/relationships/hyperlink" Target="https://www.dimagi.com/toolkits/total-cost-ownership/" TargetMode="External"/><Relationship Id="rId17" Type="http://schemas.openxmlformats.org/officeDocument/2006/relationships/hyperlink" Target="https://path.ent.box.com/file/874998519412?s=o3g41vb6kcigi2qczsgxnst40zkxki6r" TargetMode="External"/><Relationship Id="rId2" Type="http://schemas.openxmlformats.org/officeDocument/2006/relationships/hyperlink" Target="https://static1.squarespace.com/static/59bc3457ccc5c5890fe7cacd/t/60f85f249f074421d46b1f5d/1626890024524/Digital+Square+Vital+Wave+TCO+Reference+Document_final.pdf" TargetMode="External"/><Relationship Id="rId16" Type="http://schemas.openxmlformats.org/officeDocument/2006/relationships/hyperlink" Target="https://path.ent.box.com/file/874998519412?s=o3g41vb6kcigi2qczsgxnst40zkxki6r" TargetMode="External"/><Relationship Id="rId20" Type="http://schemas.openxmlformats.org/officeDocument/2006/relationships/hyperlink" Target="https://www.dimagi.com/toolkits/total-cost-ownership/" TargetMode="External"/><Relationship Id="rId1" Type="http://schemas.openxmlformats.org/officeDocument/2006/relationships/hyperlink" Target="https://academic.oup.com/heapol/article/35/1/107/5591528" TargetMode="External"/><Relationship Id="rId6" Type="http://schemas.openxmlformats.org/officeDocument/2006/relationships/hyperlink" Target="https://path.ent.box.com/file/874998519412?s=o3g41vb6kcigi2qczsgxnst40zkxki6r" TargetMode="External"/><Relationship Id="rId11" Type="http://schemas.openxmlformats.org/officeDocument/2006/relationships/hyperlink" Target="https://path.ent.box.com/file/874998519412?s=o3g41vb6kcigi2qczsgxnst40zkxki6r" TargetMode="External"/><Relationship Id="rId5" Type="http://schemas.openxmlformats.org/officeDocument/2006/relationships/hyperlink" Target="https://path.ent.box.com/file/874998519412?s=o3g41vb6kcigi2qczsgxnst40zkxki6r" TargetMode="External"/><Relationship Id="rId15" Type="http://schemas.openxmlformats.org/officeDocument/2006/relationships/hyperlink" Target="https://path.ent.box.com/file/875017166090?s=4yyk3csmkti92fip0egx06xjceb1ai7j" TargetMode="External"/><Relationship Id="rId10" Type="http://schemas.openxmlformats.org/officeDocument/2006/relationships/hyperlink" Target="http://sil-asia.org/costing-tool/" TargetMode="External"/><Relationship Id="rId19" Type="http://schemas.openxmlformats.org/officeDocument/2006/relationships/hyperlink" Target="https://path.ent.box.com/file/874998519412?s=o3g41vb6kcigi2qczsgxnst40zkxki6r" TargetMode="External"/><Relationship Id="rId4" Type="http://schemas.openxmlformats.org/officeDocument/2006/relationships/hyperlink" Target="https://path.ent.box.com/file/874998519412?s=o3g41vb6kcigi2qczsgxnst40zkxki6r" TargetMode="External"/><Relationship Id="rId9" Type="http://schemas.openxmlformats.org/officeDocument/2006/relationships/hyperlink" Target="https://path.ent.box.com/file/874998519412?s=o3g41vb6kcigi2qczsgxnst40zkxki6r" TargetMode="External"/><Relationship Id="rId14" Type="http://schemas.openxmlformats.org/officeDocument/2006/relationships/hyperlink" Target="https://path.ent.box.com/file/874998519412?s=o3g41vb6kcigi2qczsgxnst40zkxki6r" TargetMode="External"/></Relationships>
</file>

<file path=xl/worksheets/_rels/sheet27.xml.rels><?xml version="1.0" encoding="UTF-8" standalone="yes"?>
<Relationships xmlns="http://schemas.openxmlformats.org/package/2006/relationships"><Relationship Id="rId13" Type="http://schemas.openxmlformats.org/officeDocument/2006/relationships/hyperlink" Target="https://static1.squarespace.com/static/59bc3457ccc5c5890fe7cacd/t/60f85f249f074421d46b1f5d/1626890024524/Digital+Square+Vital+Wave+TCO+Reference+Document_final.pdf" TargetMode="External"/><Relationship Id="rId18" Type="http://schemas.openxmlformats.org/officeDocument/2006/relationships/hyperlink" Target="https://static1.squarespace.com/static/59bc3457ccc5c5890fe7cacd/t/60f85f249f074421d46b1f5d/1626890024524/Digital+Square+Vital+Wave+TCO+Reference+Document_final.pdf" TargetMode="External"/><Relationship Id="rId26" Type="http://schemas.openxmlformats.org/officeDocument/2006/relationships/hyperlink" Target="https://path.azureedge.net/media/documents/Tanzania_Digital_Health_Investment_Road_Map.2017_to_2023.pdf" TargetMode="External"/><Relationship Id="rId3" Type="http://schemas.openxmlformats.org/officeDocument/2006/relationships/hyperlink" Target="https://path.azureedge.net/media/documents/Tanzania_Digital_Health_Investment_Road_Map.2017_to_2023.pdf" TargetMode="External"/><Relationship Id="rId21" Type="http://schemas.openxmlformats.org/officeDocument/2006/relationships/hyperlink" Target="https://path.azureedge.net/media/documents/Tanzania_Digital_Health_Investment_Road_Map.2017_to_2023.pdf" TargetMode="External"/><Relationship Id="rId34" Type="http://schemas.openxmlformats.org/officeDocument/2006/relationships/drawing" Target="../drawings/drawing12.xml"/><Relationship Id="rId7" Type="http://schemas.openxmlformats.org/officeDocument/2006/relationships/hyperlink" Target="https://path.azureedge.net/media/documents/Tanzania_Digital_Health_Investment_Road_Map.2017_to_2023.pdf" TargetMode="External"/><Relationship Id="rId12" Type="http://schemas.openxmlformats.org/officeDocument/2006/relationships/hyperlink" Target="https://static1.squarespace.com/static/59bc3457ccc5c5890fe7cacd/t/60f85f249f074421d46b1f5d/1626890024524/Digital+Square+Vital+Wave+TCO+Reference+Document_final.pdf" TargetMode="External"/><Relationship Id="rId17" Type="http://schemas.openxmlformats.org/officeDocument/2006/relationships/hyperlink" Target="https://static1.squarespace.com/static/59bc3457ccc5c5890fe7cacd/t/60f85f249f074421d46b1f5d/1626890024524/Digital+Square+Vital+Wave+TCO+Reference+Document_final.pdf" TargetMode="External"/><Relationship Id="rId25" Type="http://schemas.openxmlformats.org/officeDocument/2006/relationships/hyperlink" Target="https://path.azureedge.net/media/documents/Tanzania_Digital_Health_Investment_Road_Map.2017_to_2023.pdf" TargetMode="External"/><Relationship Id="rId33" Type="http://schemas.openxmlformats.org/officeDocument/2006/relationships/printerSettings" Target="../printerSettings/printerSettings16.bin"/><Relationship Id="rId2" Type="http://schemas.openxmlformats.org/officeDocument/2006/relationships/hyperlink" Target="https://path.azureedge.net/media/documents/Tanzania_Digital_Health_Investment_Road_Map.2017_to_2023.pdf" TargetMode="External"/><Relationship Id="rId16" Type="http://schemas.openxmlformats.org/officeDocument/2006/relationships/hyperlink" Target="https://static1.squarespace.com/static/59bc3457ccc5c5890fe7cacd/t/60f85f249f074421d46b1f5d/1626890024524/Digital+Square+Vital+Wave+TCO+Reference+Document_final.pdf" TargetMode="External"/><Relationship Id="rId20" Type="http://schemas.openxmlformats.org/officeDocument/2006/relationships/hyperlink" Target="https://path.azureedge.net/media/documents/Tanzania_Digital_Health_Investment_Road_Map.2017_to_2023.pdf" TargetMode="External"/><Relationship Id="rId29" Type="http://schemas.openxmlformats.org/officeDocument/2006/relationships/hyperlink" Target="https://static1.squarespace.com/static/59bc3457ccc5c5890fe7cacd/t/60f85f249f074421d46b1f5d/1626890024524/Digital+Square+Vital+Wave+TCO+Reference+Document_final.pdf" TargetMode="External"/><Relationship Id="rId1" Type="http://schemas.openxmlformats.org/officeDocument/2006/relationships/hyperlink" Target="https://www.un.org/Depts/OHRM/salaries_allowances/salary.htm" TargetMode="External"/><Relationship Id="rId6" Type="http://schemas.openxmlformats.org/officeDocument/2006/relationships/hyperlink" Target="https://static1.squarespace.com/static/59bc3457ccc5c5890fe7cacd/t/60f85f249f074421d46b1f5d/1626890024524/Digital+Square+Vital+Wave+TCO+Reference+Document_final.pdf" TargetMode="External"/><Relationship Id="rId11" Type="http://schemas.openxmlformats.org/officeDocument/2006/relationships/hyperlink" Target="https://static1.squarespace.com/static/59bc3457ccc5c5890fe7cacd/t/60f85f249f074421d46b1f5d/1626890024524/Digital+Square+Vital+Wave+TCO+Reference+Document_final.pdf" TargetMode="External"/><Relationship Id="rId24" Type="http://schemas.openxmlformats.org/officeDocument/2006/relationships/hyperlink" Target="https://static1.squarespace.com/static/59bc3457ccc5c5890fe7cacd/t/60f85f249f074421d46b1f5d/1626890024524/Digital+Square+Vital+Wave+TCO+Reference+Document_final.pdf" TargetMode="External"/><Relationship Id="rId32" Type="http://schemas.openxmlformats.org/officeDocument/2006/relationships/hyperlink" Target="https://path.azureedge.net/media/documents/Tanzania_Digital_Health_Investment_Road_Map.2017_to_2023.pdf" TargetMode="External"/><Relationship Id="rId5" Type="http://schemas.openxmlformats.org/officeDocument/2006/relationships/hyperlink" Target="https://static1.squarespace.com/static/59bc3457ccc5c5890fe7cacd/t/60f85f249f074421d46b1f5d/1626890024524/Digital+Square+Vital+Wave+TCO+Reference+Document_final.pdf" TargetMode="External"/><Relationship Id="rId15" Type="http://schemas.openxmlformats.org/officeDocument/2006/relationships/hyperlink" Target="https://static1.squarespace.com/static/59bc3457ccc5c5890fe7cacd/t/60f85f249f074421d46b1f5d/1626890024524/Digital+Square+Vital+Wave+TCO+Reference+Document_final.pdf" TargetMode="External"/><Relationship Id="rId23" Type="http://schemas.openxmlformats.org/officeDocument/2006/relationships/hyperlink" Target="https://static1.squarespace.com/static/59bc3457ccc5c5890fe7cacd/t/60f85f249f074421d46b1f5d/1626890024524/Digital+Square+Vital+Wave+TCO+Reference+Document_final.pdf" TargetMode="External"/><Relationship Id="rId28" Type="http://schemas.openxmlformats.org/officeDocument/2006/relationships/hyperlink" Target="https://static1.squarespace.com/static/59bc3457ccc5c5890fe7cacd/t/60f85f249f074421d46b1f5d/1626890024524/Digital+Square+Vital+Wave+TCO+Reference+Document_final.pdf" TargetMode="External"/><Relationship Id="rId10" Type="http://schemas.openxmlformats.org/officeDocument/2006/relationships/hyperlink" Target="https://www.who.int/publications/i/item/9789240010567" TargetMode="External"/><Relationship Id="rId19" Type="http://schemas.openxmlformats.org/officeDocument/2006/relationships/hyperlink" Target="https://path.azureedge.net/media/documents/Tanzania_Digital_Health_Investment_Road_Map.2017_to_2023.pdf" TargetMode="External"/><Relationship Id="rId31" Type="http://schemas.openxmlformats.org/officeDocument/2006/relationships/hyperlink" Target="https://path.azureedge.net/media/documents/Tanzania_Digital_Health_Investment_Road_Map.2017_to_2023.pdf" TargetMode="External"/><Relationship Id="rId4" Type="http://schemas.openxmlformats.org/officeDocument/2006/relationships/hyperlink" Target="https://path.azureedge.net/media/documents/Tanzania_Digital_Health_Investment_Road_Map.2017_to_2023.pdf" TargetMode="External"/><Relationship Id="rId9" Type="http://schemas.openxmlformats.org/officeDocument/2006/relationships/hyperlink" Target="https://www.who.int/publications/i/item/9789240010567" TargetMode="External"/><Relationship Id="rId14" Type="http://schemas.openxmlformats.org/officeDocument/2006/relationships/hyperlink" Target="https://static1.squarespace.com/static/59bc3457ccc5c5890fe7cacd/t/60f85f249f074421d46b1f5d/1626890024524/Digital+Square+Vital+Wave+TCO+Reference+Document_final.pdf" TargetMode="External"/><Relationship Id="rId22" Type="http://schemas.openxmlformats.org/officeDocument/2006/relationships/hyperlink" Target="https://static1.squarespace.com/static/59bc3457ccc5c5890fe7cacd/t/60f85f249f074421d46b1f5d/1626890024524/Digital+Square+Vital+Wave+TCO+Reference+Document_final.pdf" TargetMode="External"/><Relationship Id="rId27" Type="http://schemas.openxmlformats.org/officeDocument/2006/relationships/hyperlink" Target="https://path.azureedge.net/media/documents/Tanzania_Digital_Health_Investment_Road_Map.2017_to_2023.pdf" TargetMode="External"/><Relationship Id="rId30" Type="http://schemas.openxmlformats.org/officeDocument/2006/relationships/hyperlink" Target="https://path.azureedge.net/media/documents/Tanzania_Digital_Health_Investment_Road_Map.2017_to_2023.pdf" TargetMode="External"/><Relationship Id="rId8" Type="http://schemas.openxmlformats.org/officeDocument/2006/relationships/hyperlink" Target="https://www.who.int/publications/i/item/9789240010567"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hyperlink" Target="https://static1.squarespace.com/static/59bc3457ccc5c5890fe7cacd/t/60f85f249f074421d46b1f5d/1626890024524/Digital+Square+Vital+Wave+TCO+Reference+Document_final.pdf" TargetMode="External"/><Relationship Id="rId2" Type="http://schemas.openxmlformats.org/officeDocument/2006/relationships/hyperlink" Target="https://digitalsquare.org/market-analytics" TargetMode="External"/><Relationship Id="rId1" Type="http://schemas.openxmlformats.org/officeDocument/2006/relationships/hyperlink" Target="https://www1.oanda.com/currency/converter/" TargetMode="External"/><Relationship Id="rId4"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3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33.xml.rels><?xml version="1.0" encoding="UTF-8" standalone="yes"?>
<Relationships xmlns="http://schemas.openxmlformats.org/package/2006/relationships"><Relationship Id="rId3" Type="http://schemas.openxmlformats.org/officeDocument/2006/relationships/hyperlink" Target="https://path.azureedge.net/media/documents/WHO_Digital_implementation_investment_guide_DIIG_R3.pdf" TargetMode="External"/><Relationship Id="rId2" Type="http://schemas.openxmlformats.org/officeDocument/2006/relationships/hyperlink" Target="https://digitalsquare.org/resourcesrepository/global-goods-guidebook" TargetMode="External"/><Relationship Id="rId1" Type="http://schemas.openxmlformats.org/officeDocument/2006/relationships/hyperlink" Target="https://static1.squarespace.com/static/59bc3457ccc5c5890fe7cacd/t/60f85f249f074421d46b1f5d/1626890024524/Digital+Square+Vital+Wave+TCO+Reference+Document_final.pdf" TargetMode="External"/><Relationship Id="rId6" Type="http://schemas.openxmlformats.org/officeDocument/2006/relationships/drawing" Target="../drawings/drawing14.xml"/><Relationship Id="rId5" Type="http://schemas.openxmlformats.org/officeDocument/2006/relationships/printerSettings" Target="../printerSettings/printerSettings19.bin"/><Relationship Id="rId4" Type="http://schemas.openxmlformats.org/officeDocument/2006/relationships/hyperlink" Target="https://digitalprinciples.org/wp-content/uploads/PDD_HowTo_CalculateTCO-v2.pdf" TargetMode="External"/></Relationships>
</file>

<file path=xl/worksheets/_rels/sheet3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 Id="rId4" Type="http://schemas.microsoft.com/office/2017/10/relationships/threadedComment" Target="../threadedComments/threadedComment2.xml"/></Relationships>
</file>

<file path=xl/worksheets/_rels/sheet35.xml.rels><?xml version="1.0" encoding="UTF-8" standalone="yes"?>
<Relationships xmlns="http://schemas.openxmlformats.org/package/2006/relationships"><Relationship Id="rId8" Type="http://schemas.openxmlformats.org/officeDocument/2006/relationships/hyperlink" Target="https://path.box.com/s/fhlw17hs1lthhbav6j55esh36zhzqg9d" TargetMode="External"/><Relationship Id="rId13" Type="http://schemas.openxmlformats.org/officeDocument/2006/relationships/hyperlink" Target="https://path.ent.box.com/file/832855209208?s=c1ttccrs1zn2ltr4amltgqofvc22fxry" TargetMode="External"/><Relationship Id="rId18" Type="http://schemas.openxmlformats.org/officeDocument/2006/relationships/hyperlink" Target="https://path.ent.box.com/file/832855209208?s=c1ttccrs1zn2ltr4amltgqofvc22fxry" TargetMode="External"/><Relationship Id="rId26" Type="http://schemas.openxmlformats.org/officeDocument/2006/relationships/hyperlink" Target="https://path.ent.box.com/file/832855209208?s=c1ttccrs1zn2ltr4amltgqofvc22fxry" TargetMode="External"/><Relationship Id="rId3" Type="http://schemas.openxmlformats.org/officeDocument/2006/relationships/hyperlink" Target="https://path.ent.box.com/file/756312315504?s=w9injwokxnai4ohri1on73htmx9rlpp3&amp;sb=/activity" TargetMode="External"/><Relationship Id="rId21" Type="http://schemas.openxmlformats.org/officeDocument/2006/relationships/hyperlink" Target="https://path.ent.box.com/file/832855209208?s=c1ttccrs1zn2ltr4amltgqofvc22fxry" TargetMode="External"/><Relationship Id="rId7" Type="http://schemas.openxmlformats.org/officeDocument/2006/relationships/hyperlink" Target="https://path.box.com/s/fhlw17hs1lthhbav6j55esh36zhzqg9d" TargetMode="External"/><Relationship Id="rId12" Type="http://schemas.openxmlformats.org/officeDocument/2006/relationships/hyperlink" Target="https://path.ent.box.com/file/832855209208" TargetMode="External"/><Relationship Id="rId17" Type="http://schemas.openxmlformats.org/officeDocument/2006/relationships/hyperlink" Target="https://path.ent.box.com/file/832855209208?s=c1ttccrs1zn2ltr4amltgqofvc22fxry" TargetMode="External"/><Relationship Id="rId25" Type="http://schemas.openxmlformats.org/officeDocument/2006/relationships/hyperlink" Target="https://path.ent.box.com/file/832855209208?s=c1ttccrs1zn2ltr4amltgqofvc22fxry" TargetMode="External"/><Relationship Id="rId2" Type="http://schemas.openxmlformats.org/officeDocument/2006/relationships/hyperlink" Target="https://path.ent.box.com/file/756312315504?s=w9injwokxnai4ohri1on73htmx9rlpp3&amp;sb=/activity" TargetMode="External"/><Relationship Id="rId16" Type="http://schemas.openxmlformats.org/officeDocument/2006/relationships/hyperlink" Target="https://path.ent.box.com/file/832855209208?s=c1ttccrs1zn2ltr4amltgqofvc22fxry" TargetMode="External"/><Relationship Id="rId20" Type="http://schemas.openxmlformats.org/officeDocument/2006/relationships/hyperlink" Target="https://path.ent.box.com/file/832855209208?s=c1ttccrs1zn2ltr4amltgqofvc22fxry" TargetMode="External"/><Relationship Id="rId1" Type="http://schemas.openxmlformats.org/officeDocument/2006/relationships/hyperlink" Target="https://path.ent.box.com/file/854442719902?s=68b9nyd7wep14ymd25m9dvem3h39sn5n" TargetMode="External"/><Relationship Id="rId6" Type="http://schemas.openxmlformats.org/officeDocument/2006/relationships/hyperlink" Target="https://path.box.com/s/fhlw17hs1lthhbav6j55esh36zhzqg9d" TargetMode="External"/><Relationship Id="rId11" Type="http://schemas.openxmlformats.org/officeDocument/2006/relationships/hyperlink" Target="https://path.ent.box.com/file/832855209208" TargetMode="External"/><Relationship Id="rId24" Type="http://schemas.openxmlformats.org/officeDocument/2006/relationships/hyperlink" Target="https://path.ent.box.com/file/832855209208?s=c1ttccrs1zn2ltr4amltgqofvc22fxry" TargetMode="External"/><Relationship Id="rId5" Type="http://schemas.openxmlformats.org/officeDocument/2006/relationships/hyperlink" Target="https://nam12.safelinks.protection.outlook.com/?url=https%3A%2F%2Fwww.dimagi.com%2Ftoolkits%2Ftotal-cost-ownership%2F&amp;data=04%7C01%7Cjfritz%40path.org%7C9bb0507d6bd34cc6a82d08d974754443%7C29ca3f4f6d6749a5a001e1db48252717%7C0%7C0%7C637668869297505393%7CUnknown%7CTWFpbGZsb3d8eyJWIjoiMC4wLjAwMDAiLCJQIjoiV2luMzIiLCJBTiI6Ik1haWwiLCJXVCI6Mn0%3D%7C1000&amp;sdata=MpBz6S3gqd5OBvOCep9mhfSPxPR265Q2R4h2JtbpYd4%3D&amp;reserved=0" TargetMode="External"/><Relationship Id="rId15" Type="http://schemas.openxmlformats.org/officeDocument/2006/relationships/hyperlink" Target="https://path.ent.box.com/file/832855209208?s=c1ttccrs1zn2ltr4amltgqofvc22fxry" TargetMode="External"/><Relationship Id="rId23" Type="http://schemas.openxmlformats.org/officeDocument/2006/relationships/hyperlink" Target="https://path.ent.box.com/file/832855209208?s=c1ttccrs1zn2ltr4amltgqofvc22fxry" TargetMode="External"/><Relationship Id="rId28" Type="http://schemas.openxmlformats.org/officeDocument/2006/relationships/printerSettings" Target="../printerSettings/printerSettings21.bin"/><Relationship Id="rId10" Type="http://schemas.openxmlformats.org/officeDocument/2006/relationships/hyperlink" Target="https://path.box.com/s/fhlw17hs1lthhbav6j55esh36zhzqg9d" TargetMode="External"/><Relationship Id="rId19" Type="http://schemas.openxmlformats.org/officeDocument/2006/relationships/hyperlink" Target="https://path.ent.box.com/file/832855209208?s=c1ttccrs1zn2ltr4amltgqofvc22fxry" TargetMode="External"/><Relationship Id="rId4" Type="http://schemas.openxmlformats.org/officeDocument/2006/relationships/hyperlink" Target="https://nam12.safelinks.protection.outlook.com/?url=https%3A%2F%2Fdocs.google.com%2Fspreadsheets%2Fd%2F1HulXPYmGSoFRLmlTAWhJvnXU7Y_4h4jpDsu-H0SEJ3A%2Fedit%23gid%3D1255448025&amp;data=04%7C01%7Cjfritz%40path.org%7C9bb0507d6bd34cc6a82d08d974754443%7C29ca3f4f6d6749a5a001e1db48252717%7C0%7C0%7C637668869297505393%7CUnknown%7CTWFpbGZsb3d8eyJWIjoiMC4wLjAwMDAiLCJQIjoiV2luMzIiLCJBTiI6Ik1haWwiLCJXVCI6Mn0%3D%7C1000&amp;sdata=Bsw1LUxRgQstSbbb%2BsZS6qjUToOdcHF69Vwjl1JU7Fo%3D&amp;reserved=0" TargetMode="External"/><Relationship Id="rId9" Type="http://schemas.openxmlformats.org/officeDocument/2006/relationships/hyperlink" Target="https://path.box.com/s/fhlw17hs1lthhbav6j55esh36zhzqg9d" TargetMode="External"/><Relationship Id="rId14" Type="http://schemas.openxmlformats.org/officeDocument/2006/relationships/hyperlink" Target="https://path.ent.box.com/file/832855209208?s=c1ttccrs1zn2ltr4amltgqofvc22fxry" TargetMode="External"/><Relationship Id="rId22" Type="http://schemas.openxmlformats.org/officeDocument/2006/relationships/hyperlink" Target="https://path.ent.box.com/file/832855209208?s=c1ttccrs1zn2ltr4amltgqofvc22fxry" TargetMode="External"/><Relationship Id="rId27" Type="http://schemas.openxmlformats.org/officeDocument/2006/relationships/hyperlink" Target="https://path.ent.box.com/file/832855209208?s=c1ttccrs1zn2ltr4amltgqofvc22fxry" TargetMode="External"/></Relationships>
</file>

<file path=xl/worksheets/_rels/sheet36.xml.rels><?xml version="1.0" encoding="UTF-8" standalone="yes"?>
<Relationships xmlns="http://schemas.openxmlformats.org/package/2006/relationships"><Relationship Id="rId8" Type="http://schemas.openxmlformats.org/officeDocument/2006/relationships/drawing" Target="../drawings/drawing15.xml"/><Relationship Id="rId3" Type="http://schemas.openxmlformats.org/officeDocument/2006/relationships/hyperlink" Target="https://path.ent.box.com/file/756312315504?s=w9injwokxnai4ohri1on73htmx9rlpp3&amp;sb=/activity" TargetMode="External"/><Relationship Id="rId7" Type="http://schemas.openxmlformats.org/officeDocument/2006/relationships/hyperlink" Target="https://path.box.com/s/fhlw17hs1lthhbav6j55esh36zhzqg9d" TargetMode="External"/><Relationship Id="rId2" Type="http://schemas.openxmlformats.org/officeDocument/2006/relationships/hyperlink" Target="https://path.ent.box.com/file/756312315504?s=w9injwokxnai4ohri1on73htmx9rlpp3&amp;sb=/activity" TargetMode="External"/><Relationship Id="rId1" Type="http://schemas.openxmlformats.org/officeDocument/2006/relationships/hyperlink" Target="https://path.ent.box.com/file/854442719902?s=68b9nyd7wep14ymd25m9dvem3h39sn5n" TargetMode="External"/><Relationship Id="rId6" Type="http://schemas.openxmlformats.org/officeDocument/2006/relationships/hyperlink" Target="https://path.box.com/s/fhlw17hs1lthhbav6j55esh36zhzqg9d" TargetMode="External"/><Relationship Id="rId5" Type="http://schemas.openxmlformats.org/officeDocument/2006/relationships/hyperlink" Target="https://path.box.com/s/fhlw17hs1lthhbav6j55esh36zhzqg9d" TargetMode="External"/><Relationship Id="rId4" Type="http://schemas.openxmlformats.org/officeDocument/2006/relationships/hyperlink" Target="https://path.box.com/s/fhlw17hs1lthhbav6j55esh36zhzqg9d"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static1.squarespace.com/static/59bc3457ccc5c5890fe7cacd/t/60f85f249f074421d46b1f5d/1626890024524/Digital+Square+Vital+Wave+TCO+Reference+Document_final.pdf" TargetMode="External"/><Relationship Id="rId13" Type="http://schemas.openxmlformats.org/officeDocument/2006/relationships/printerSettings" Target="../printerSettings/printerSettings5.bin"/><Relationship Id="rId3" Type="http://schemas.openxmlformats.org/officeDocument/2006/relationships/hyperlink" Target="https://static1.squarespace.com/static/59bc3457ccc5c5890fe7cacd/t/60f85f249f074421d46b1f5d/1626890024524/Digital+Square+Vital+Wave+TCO+Reference+Document_final.pdf" TargetMode="External"/><Relationship Id="rId7" Type="http://schemas.openxmlformats.org/officeDocument/2006/relationships/hyperlink" Target="https://static1.squarespace.com/static/59bc3457ccc5c5890fe7cacd/t/60f85f249f074421d46b1f5d/1626890024524/Digital+Square+Vital+Wave+TCO+Reference+Document_final.pdf" TargetMode="External"/><Relationship Id="rId12" Type="http://schemas.openxmlformats.org/officeDocument/2006/relationships/hyperlink" Target="https://static1.squarespace.com/static/59bc3457ccc5c5890fe7cacd/t/60f85f249f074421d46b1f5d/1626890024524/Digital+Square+Vital+Wave+TCO+Reference+Document_final.pdf" TargetMode="External"/><Relationship Id="rId2" Type="http://schemas.openxmlformats.org/officeDocument/2006/relationships/hyperlink" Target="https://static1.squarespace.com/static/59bc3457ccc5c5890fe7cacd/t/60f85f249f074421d46b1f5d/1626890024524/Digital+Square+Vital+Wave+TCO+Reference+Document_final.pdf" TargetMode="External"/><Relationship Id="rId1" Type="http://schemas.openxmlformats.org/officeDocument/2006/relationships/hyperlink" Target="https://path.azureedge.net/media/documents/Tanzania_Digital_Health_Investment_Road_Map.2017_to_2023.pdf" TargetMode="External"/><Relationship Id="rId6" Type="http://schemas.openxmlformats.org/officeDocument/2006/relationships/hyperlink" Target="https://path.azureedge.net/media/documents/Tanzania_Digital_Health_Investment_Road_Map.2017_to_2023.pdf" TargetMode="External"/><Relationship Id="rId11" Type="http://schemas.openxmlformats.org/officeDocument/2006/relationships/hyperlink" Target="https://www.adb.org/sites/default/files/publication/465611/sdwp-057-digital-health-impact-framework-manual.pdf" TargetMode="External"/><Relationship Id="rId5" Type="http://schemas.openxmlformats.org/officeDocument/2006/relationships/hyperlink" Target="https://static1.squarespace.com/static/59bc3457ccc5c5890fe7cacd/t/60f85f249f074421d46b1f5d/1626890024524/Digital+Square+Vital+Wave+TCO+Reference+Document_final.pdf" TargetMode="External"/><Relationship Id="rId10" Type="http://schemas.openxmlformats.org/officeDocument/2006/relationships/hyperlink" Target="https://www.who.int/publications/i/item/9789240010567" TargetMode="External"/><Relationship Id="rId4" Type="http://schemas.openxmlformats.org/officeDocument/2006/relationships/hyperlink" Target="https://static1.squarespace.com/static/59bc3457ccc5c5890fe7cacd/t/60f85f249f074421d46b1f5d/1626890024524/Digital+Square+Vital+Wave+TCO+Reference+Document_final.pdf" TargetMode="External"/><Relationship Id="rId9" Type="http://schemas.openxmlformats.org/officeDocument/2006/relationships/hyperlink" Target="https://path.azureedge.net/media/documents/Tanzania_Digital_Health_Investment_Road_Map.2017_to_2023.pdf" TargetMode="External"/><Relationship Id="rId1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static1.squarespace.com/static/59bc3457ccc5c5890fe7cacd/t/60f85f249f074421d46b1f5d/1626890024524/Digital+Square+Vital+Wave+TCO+Reference+Document_final.pdf" TargetMode="External"/><Relationship Id="rId13" Type="http://schemas.openxmlformats.org/officeDocument/2006/relationships/hyperlink" Target="https://path.azureedge.net/media/documents/Tanzania_Digital_Health_Investment_Road_Map.2017_to_2023.pdf" TargetMode="External"/><Relationship Id="rId18" Type="http://schemas.openxmlformats.org/officeDocument/2006/relationships/printerSettings" Target="../printerSettings/printerSettings6.bin"/><Relationship Id="rId3" Type="http://schemas.openxmlformats.org/officeDocument/2006/relationships/hyperlink" Target="https://static1.squarespace.com/static/59bc3457ccc5c5890fe7cacd/t/60f85f249f074421d46b1f5d/1626890024524/Digital+Square+Vital+Wave+TCO+Reference+Document_final.pdf" TargetMode="External"/><Relationship Id="rId7" Type="http://schemas.openxmlformats.org/officeDocument/2006/relationships/hyperlink" Target="https://static1.squarespace.com/static/59bc3457ccc5c5890fe7cacd/t/60f85f249f074421d46b1f5d/1626890024524/Digital+Square+Vital+Wave+TCO+Reference+Document_final.pdf" TargetMode="External"/><Relationship Id="rId12" Type="http://schemas.openxmlformats.org/officeDocument/2006/relationships/hyperlink" Target="https://static1.squarespace.com/static/59bc3457ccc5c5890fe7cacd/t/60f85f249f074421d46b1f5d/1626890024524/Digital+Square+Vital+Wave+TCO+Reference+Document_final.pdf" TargetMode="External"/><Relationship Id="rId17" Type="http://schemas.openxmlformats.org/officeDocument/2006/relationships/hyperlink" Target="https://static1.squarespace.com/static/59bc3457ccc5c5890fe7cacd/t/60f85f249f074421d46b1f5d/1626890024524/Digital+Square+Vital+Wave+TCO+Reference+Document_final.pdf" TargetMode="External"/><Relationship Id="rId2" Type="http://schemas.openxmlformats.org/officeDocument/2006/relationships/hyperlink" Target="https://www.dimagi.com/toolkits/total-cost-ownership/" TargetMode="External"/><Relationship Id="rId16" Type="http://schemas.openxmlformats.org/officeDocument/2006/relationships/hyperlink" Target="https://path.azureedge.net/media/documents/Tanzania_Digital_Health_Investment_Road_Map.2017_to_2023.pdf" TargetMode="External"/><Relationship Id="rId1" Type="http://schemas.openxmlformats.org/officeDocument/2006/relationships/hyperlink" Target="https://static1.squarespace.com/static/59bc3457ccc5c5890fe7cacd/t/60f85f249f074421d46b1f5d/1626890024524/Digital+Square+Vital+Wave+TCO+Reference+Document_final.pdf" TargetMode="External"/><Relationship Id="rId6" Type="http://schemas.openxmlformats.org/officeDocument/2006/relationships/hyperlink" Target="https://static1.squarespace.com/static/59bc3457ccc5c5890fe7cacd/t/60f85f249f074421d46b1f5d/1626890024524/Digital+Square+Vital+Wave+TCO+Reference+Document_final.pdf" TargetMode="External"/><Relationship Id="rId11" Type="http://schemas.openxmlformats.org/officeDocument/2006/relationships/hyperlink" Target="https://static1.squarespace.com/static/59bc3457ccc5c5890fe7cacd/t/60f85f249f074421d46b1f5d/1626890024524/Digital+Square+Vital+Wave+TCO+Reference+Document_final.pdf" TargetMode="External"/><Relationship Id="rId5" Type="http://schemas.openxmlformats.org/officeDocument/2006/relationships/hyperlink" Target="https://www.dimagi.com/toolkits/total-cost-ownership/" TargetMode="External"/><Relationship Id="rId15" Type="http://schemas.openxmlformats.org/officeDocument/2006/relationships/hyperlink" Target="https://static1.squarespace.com/static/59bc3457ccc5c5890fe7cacd/t/60f85f249f074421d46b1f5d/1626890024524/Digital+Square+Vital+Wave+TCO+Reference+Document_final.pdf" TargetMode="External"/><Relationship Id="rId10" Type="http://schemas.openxmlformats.org/officeDocument/2006/relationships/hyperlink" Target="https://static1.squarespace.com/static/59bc3457ccc5c5890fe7cacd/t/60f85f249f074421d46b1f5d/1626890024524/Digital+Square+Vital+Wave+TCO+Reference+Document_final.pdf" TargetMode="External"/><Relationship Id="rId19" Type="http://schemas.openxmlformats.org/officeDocument/2006/relationships/drawing" Target="../drawings/drawing5.xml"/><Relationship Id="rId4" Type="http://schemas.openxmlformats.org/officeDocument/2006/relationships/hyperlink" Target="https://www.dimagi.com/toolkits/total-cost-ownership/" TargetMode="External"/><Relationship Id="rId9" Type="http://schemas.openxmlformats.org/officeDocument/2006/relationships/hyperlink" Target="https://path.azureedge.net/media/documents/Tanzania_Digital_Health_Investment_Road_Map.2017_to_2023.pdf" TargetMode="External"/><Relationship Id="rId14" Type="http://schemas.openxmlformats.org/officeDocument/2006/relationships/hyperlink" Target="https://static1.squarespace.com/static/59bc3457ccc5c5890fe7cacd/t/60f85f249f074421d46b1f5d/1626890024524/Digital+Square+Vital+Wave+TCO+Reference+Document_final.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5F52E-A6B9-FC41-933A-F6642DAB9B65}">
  <sheetPr>
    <tabColor rgb="FF7030A0"/>
  </sheetPr>
  <dimension ref="A1:Q27"/>
  <sheetViews>
    <sheetView showGridLines="0" tabSelected="1" zoomScaleNormal="100" workbookViewId="0">
      <pane xSplit="14" ySplit="27" topLeftCell="O28" activePane="bottomRight" state="frozen"/>
      <selection pane="topRight" activeCell="N1" sqref="N1"/>
      <selection pane="bottomLeft" activeCell="A26" sqref="A26"/>
      <selection pane="bottomRight" activeCell="R14" sqref="R14"/>
    </sheetView>
  </sheetViews>
  <sheetFormatPr defaultColWidth="8.85546875" defaultRowHeight="15"/>
  <cols>
    <col min="1" max="1" width="2.5703125" customWidth="1"/>
    <col min="2" max="2" width="4.5703125" customWidth="1"/>
    <col min="4" max="4" width="8.85546875" customWidth="1"/>
    <col min="12" max="12" width="11.140625" customWidth="1"/>
    <col min="13" max="13" width="7.140625" customWidth="1"/>
    <col min="14" max="14" width="2.5703125" customWidth="1"/>
  </cols>
  <sheetData>
    <row r="1" spans="1:17">
      <c r="A1" s="754"/>
      <c r="B1" s="754"/>
      <c r="C1" s="754"/>
      <c r="D1" s="754"/>
      <c r="E1" s="754"/>
      <c r="F1" s="754"/>
      <c r="G1" s="754"/>
      <c r="H1" s="754"/>
      <c r="I1" s="754"/>
      <c r="J1" s="754"/>
      <c r="K1" s="754"/>
      <c r="L1" s="754"/>
    </row>
    <row r="2" spans="1:17" ht="31.5">
      <c r="A2" s="754"/>
      <c r="F2" s="756"/>
      <c r="G2" s="756"/>
      <c r="H2" s="756"/>
      <c r="I2" s="756"/>
      <c r="J2" s="756"/>
      <c r="K2" s="756"/>
      <c r="Q2" s="287"/>
    </row>
    <row r="3" spans="1:17" ht="31.5">
      <c r="A3" s="754"/>
      <c r="C3" s="755" t="s">
        <v>1620</v>
      </c>
      <c r="F3" s="756"/>
      <c r="G3" s="756"/>
      <c r="H3" s="756"/>
      <c r="I3" s="756"/>
      <c r="J3" s="756"/>
      <c r="K3" s="756"/>
      <c r="N3" s="754"/>
    </row>
    <row r="4" spans="1:17">
      <c r="A4" s="754"/>
      <c r="N4" s="754"/>
    </row>
    <row r="5" spans="1:17" ht="18.75">
      <c r="A5" s="754"/>
      <c r="D5" s="757"/>
      <c r="N5" s="754"/>
      <c r="Q5" s="287"/>
    </row>
    <row r="6" spans="1:17">
      <c r="A6" s="754"/>
      <c r="C6" s="758" t="s">
        <v>1623</v>
      </c>
      <c r="N6" s="754"/>
    </row>
    <row r="7" spans="1:17" ht="14.45" customHeight="1">
      <c r="A7" s="754"/>
      <c r="C7" s="1005" t="s">
        <v>1619</v>
      </c>
      <c r="D7" s="708" t="s">
        <v>1726</v>
      </c>
      <c r="E7" s="707"/>
      <c r="F7" s="707"/>
      <c r="G7" s="706"/>
      <c r="N7" s="754"/>
    </row>
    <row r="8" spans="1:17">
      <c r="A8" s="754"/>
      <c r="C8" s="1005"/>
      <c r="D8" s="1006" t="s">
        <v>1727</v>
      </c>
      <c r="E8" s="1006"/>
      <c r="F8" s="1006"/>
      <c r="G8" s="706"/>
      <c r="N8" s="754"/>
    </row>
    <row r="9" spans="1:17">
      <c r="A9" s="754"/>
      <c r="C9" s="1005"/>
      <c r="D9" s="1006" t="s">
        <v>646</v>
      </c>
      <c r="E9" s="1006"/>
      <c r="F9" s="1006"/>
      <c r="G9" s="706"/>
      <c r="N9" s="754"/>
      <c r="Q9" s="287"/>
    </row>
    <row r="10" spans="1:17">
      <c r="A10" s="754"/>
      <c r="C10" s="1005"/>
      <c r="D10" s="1007" t="s">
        <v>648</v>
      </c>
      <c r="E10" s="1007"/>
      <c r="F10" s="1007"/>
      <c r="G10" s="706"/>
      <c r="N10" s="754"/>
    </row>
    <row r="11" spans="1:17">
      <c r="A11" s="754"/>
      <c r="C11" s="1005"/>
      <c r="D11" s="1006" t="s">
        <v>656</v>
      </c>
      <c r="E11" s="1006"/>
      <c r="F11" s="1006"/>
      <c r="G11" s="706"/>
      <c r="N11" s="754"/>
    </row>
    <row r="12" spans="1:17">
      <c r="A12" s="754"/>
      <c r="C12" s="1005"/>
      <c r="D12" s="971" t="s">
        <v>1636</v>
      </c>
      <c r="E12" s="971"/>
      <c r="F12" s="971"/>
      <c r="G12" s="706"/>
      <c r="N12" s="754"/>
      <c r="Q12" s="287"/>
    </row>
    <row r="13" spans="1:17">
      <c r="A13" s="754"/>
      <c r="C13" s="1004" t="s">
        <v>1618</v>
      </c>
      <c r="D13" s="1006" t="s">
        <v>1728</v>
      </c>
      <c r="E13" s="1006"/>
      <c r="F13" s="707"/>
      <c r="G13" s="706"/>
      <c r="N13" s="754"/>
      <c r="Q13" s="287"/>
    </row>
    <row r="14" spans="1:17">
      <c r="A14" s="754"/>
      <c r="C14" s="1004"/>
      <c r="D14" s="1006" t="s">
        <v>629</v>
      </c>
      <c r="E14" s="1006"/>
      <c r="F14" s="1006"/>
      <c r="G14" s="706"/>
      <c r="N14" s="754"/>
    </row>
    <row r="15" spans="1:17">
      <c r="A15" s="754"/>
      <c r="C15" s="1004"/>
      <c r="D15" s="1006" t="s">
        <v>1729</v>
      </c>
      <c r="E15" s="1006"/>
      <c r="F15" s="1006"/>
      <c r="G15" s="1006"/>
      <c r="N15" s="754"/>
    </row>
    <row r="16" spans="1:17" ht="15" customHeight="1">
      <c r="A16" s="754"/>
      <c r="N16" s="754"/>
    </row>
    <row r="17" spans="1:14">
      <c r="A17" s="754"/>
      <c r="N17" s="754"/>
    </row>
    <row r="18" spans="1:14">
      <c r="A18" s="754"/>
      <c r="C18" s="759" t="s">
        <v>1617</v>
      </c>
      <c r="N18" s="754"/>
    </row>
    <row r="19" spans="1:14">
      <c r="A19" s="754"/>
      <c r="C19" s="760"/>
      <c r="D19" s="705" t="s">
        <v>1628</v>
      </c>
      <c r="N19" s="754"/>
    </row>
    <row r="20" spans="1:14">
      <c r="A20" s="754"/>
      <c r="N20" s="754"/>
    </row>
    <row r="21" spans="1:14">
      <c r="A21" s="754"/>
      <c r="N21" s="754"/>
    </row>
    <row r="22" spans="1:14">
      <c r="A22" s="754"/>
      <c r="C22" s="759" t="s">
        <v>1616</v>
      </c>
      <c r="D22" s="761">
        <v>1.2</v>
      </c>
      <c r="N22" s="754"/>
    </row>
    <row r="23" spans="1:14">
      <c r="A23" s="754"/>
      <c r="C23" s="759" t="s">
        <v>1627</v>
      </c>
      <c r="D23" s="1001" t="s">
        <v>1772</v>
      </c>
      <c r="N23" s="754"/>
    </row>
    <row r="24" spans="1:14">
      <c r="A24" s="754"/>
      <c r="N24" s="754"/>
    </row>
    <row r="25" spans="1:14">
      <c r="A25" s="754"/>
      <c r="N25" s="754"/>
    </row>
    <row r="26" spans="1:14">
      <c r="A26" s="754"/>
      <c r="N26" s="754"/>
    </row>
    <row r="27" spans="1:14">
      <c r="A27" s="754"/>
      <c r="B27" s="754"/>
      <c r="C27" s="754"/>
      <c r="D27" s="754"/>
      <c r="E27" s="754"/>
      <c r="F27" s="754"/>
      <c r="G27" s="754"/>
      <c r="H27" s="754"/>
      <c r="I27" s="754"/>
      <c r="J27" s="754"/>
      <c r="K27" s="754"/>
      <c r="L27" s="754"/>
      <c r="M27" s="754"/>
      <c r="N27" s="754"/>
    </row>
  </sheetData>
  <sheetProtection algorithmName="SHA-512" hashValue="pUbdE1EakUNmZVBg8x/a1j9792ds/PdlJ+2wO+WE3tD0CjuKdR342KIqfho5ITCPK5k/G7JupHhr5zsFI6XRBg==" saltValue="pWtc7oGYL6DuF55HKz5SgQ==" spinCount="100000" sheet="1" formatColumns="0" formatRows="0"/>
  <mergeCells count="9">
    <mergeCell ref="C13:C15"/>
    <mergeCell ref="C7:C12"/>
    <mergeCell ref="D13:E13"/>
    <mergeCell ref="D14:F14"/>
    <mergeCell ref="D15:G15"/>
    <mergeCell ref="D8:F8"/>
    <mergeCell ref="D9:F9"/>
    <mergeCell ref="D10:F10"/>
    <mergeCell ref="D11:F11"/>
  </mergeCells>
  <hyperlinks>
    <hyperlink ref="D9:E9" location="'Tech Roles'!A1" display="Technical Roles" xr:uid="{D2384253-9972-447E-8E9F-96F92252CE93}"/>
    <hyperlink ref="D10:E10" location="'Tech Skills'!A1" display="Technical Skills" xr:uid="{FB357181-ECDB-4BD7-A421-8FE02C618D63}"/>
    <hyperlink ref="D19" r:id="rId1" xr:uid="{5E63D776-2182-4C2A-AFF8-07DFB72FEA53}"/>
    <hyperlink ref="D7" location="'User Guide'!A1" tooltip="User Guide" display="User Guide" xr:uid="{1E7F50FB-888A-4073-8255-82BF1F96752D}"/>
    <hyperlink ref="D8" location="'Input - Scope of Implementation'!A1" display="Scope of Implementation" xr:uid="{A3E281DC-73BB-4732-82D5-1118E1EDB5BF}"/>
    <hyperlink ref="D9" location="'Input - Development Costs'!A1" display="Development Costs" xr:uid="{0BB13FE5-8702-498C-ACC3-693A0E474B8E}"/>
    <hyperlink ref="D10" location="'Input - Deployment Costs'!A1" display="Deployment Costs" xr:uid="{C476BF38-6FB0-4089-8395-057A6A37D332}"/>
    <hyperlink ref="D11" location="'Input - Operations Costs'!A1" display="Operations Costs" xr:uid="{80CC7B9C-EE90-456A-93B4-899A68DE858A}"/>
    <hyperlink ref="D13" location="'Output - Cost Summary'!A1" display="Cost Summary" xr:uid="{530C3C4D-7CFD-41FB-8961-2C2979137C2D}"/>
    <hyperlink ref="D14" location="'Guidance - Benchmarking'!A1" display="Benchmarking (Guidance)" xr:uid="{96C4765B-91B9-4655-83D8-ACA4F50A750A}"/>
    <hyperlink ref="D15" location="'Budget Commitments and Gaps'!A1" display="Budget Commitment and Gaps" xr:uid="{D52F93F3-80E0-4FDC-8093-77E425750291}"/>
    <hyperlink ref="D8:F8" location="'Scope of Implementation'!A1" tooltip="Scope of Implementation" display="Scope of Implementation" xr:uid="{FE1A0886-0671-7C45-A4A6-FE73F3975CB0}"/>
    <hyperlink ref="D9:F9" location="'Development Costs'!A1" tooltip="Development Costs" display="Development Costs" xr:uid="{7279C0C6-FFC2-AE4B-84A2-EEC78A6D75AB}"/>
    <hyperlink ref="D10:F10" location="'Deployment Costs'!A1" tooltip="Deployment Costs" display="Deployment Costs" xr:uid="{CBA0701C-293F-C24D-ADFD-A425E051018B}"/>
    <hyperlink ref="D11:F11" location="'Operations Costs'!A1" tooltip="Operations Costs" display="Operations Costs" xr:uid="{3CDDDB30-21FA-0148-B742-231D0514BC87}"/>
    <hyperlink ref="D13:E13" location="'Cost Summary'!A1" tooltip="Cost Summary" display="Cost Summary" xr:uid="{20BD4DA7-32E2-594F-B1D1-4AC1E3796140}"/>
    <hyperlink ref="D14:F14" location="Benchmarking!A1" tooltip="Benchmarking" display="Benchmarking" xr:uid="{4C01187D-A450-CF49-A882-9DF0B45AF2F0}"/>
    <hyperlink ref="D15:G15" location="'Budget Commitments and Gaps'!A1" tooltip="Budget Commitment and Gaps" display="Budget Commitment and Gaps" xr:uid="{FCD3BDEF-8BD7-5649-A3D4-F346FD405D0F}"/>
    <hyperlink ref="D12" location="'Cybersecurity Costs'!A1" display="Cybersecurity Costs" xr:uid="{CE602EB0-322B-4EAA-AA3A-863C6630DB9A}"/>
  </hyperlinks>
  <pageMargins left="0.7" right="0.7" top="0.75" bottom="0.75" header="0.3" footer="0.3"/>
  <pageSetup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A2ACC-1946-4A2F-A899-CB391A70ED69}">
  <sheetPr codeName="Sheet17">
    <tabColor rgb="FF0563C1"/>
  </sheetPr>
  <dimension ref="B1:L64"/>
  <sheetViews>
    <sheetView zoomScale="80" zoomScaleNormal="80" workbookViewId="0">
      <selection activeCell="U30" sqref="U30"/>
    </sheetView>
  </sheetViews>
  <sheetFormatPr defaultColWidth="8.5703125" defaultRowHeight="15"/>
  <cols>
    <col min="1" max="1" width="2" style="689" customWidth="1"/>
    <col min="2" max="2" width="46.42578125" style="689" customWidth="1"/>
    <col min="3" max="3" width="17.85546875" style="689" customWidth="1"/>
    <col min="4" max="4" width="8.5703125" style="689"/>
    <col min="5" max="5" width="13.42578125" style="689" bestFit="1" customWidth="1"/>
    <col min="6" max="6" width="13.140625" style="689" bestFit="1" customWidth="1"/>
    <col min="7" max="9" width="12.5703125" style="689" bestFit="1" customWidth="1"/>
    <col min="10" max="10" width="8.5703125" style="689"/>
    <col min="11" max="11" width="16" style="689" customWidth="1"/>
    <col min="12" max="12" width="14.5703125" style="689" bestFit="1" customWidth="1"/>
    <col min="13" max="16384" width="8.5703125" style="689"/>
  </cols>
  <sheetData>
    <row r="1" spans="2:12" ht="15" customHeight="1">
      <c r="B1" s="753" t="s">
        <v>1621</v>
      </c>
    </row>
    <row r="2" spans="2:12" ht="48" customHeight="1">
      <c r="B2" s="1024" t="s">
        <v>1630</v>
      </c>
      <c r="C2" s="1024"/>
      <c r="D2" s="1024"/>
      <c r="E2" s="1024"/>
      <c r="F2" s="1024"/>
      <c r="G2" s="1024"/>
      <c r="H2" s="1024"/>
      <c r="I2" s="1024"/>
    </row>
    <row r="3" spans="2:12" ht="3.6" customHeight="1" thickBot="1">
      <c r="B3" s="711"/>
      <c r="C3" s="711"/>
      <c r="D3" s="711"/>
      <c r="E3" s="711"/>
      <c r="F3" s="711"/>
      <c r="G3" s="711"/>
      <c r="H3" s="711"/>
      <c r="I3" s="711"/>
    </row>
    <row r="4" spans="2:12" ht="15.75" thickBot="1">
      <c r="B4" s="712" t="e">
        <f>IF('Scope of implementation'!C8=1, "Currency = US Dollar", "Currency =" &amp; " " &amp;VLOOKUP('Scope of implementation'!C7,Table1[#All],3))</f>
        <v>#N/A</v>
      </c>
      <c r="C4" s="711"/>
      <c r="D4" s="711"/>
      <c r="E4" s="711"/>
      <c r="F4" s="711"/>
      <c r="G4" s="711"/>
      <c r="H4" s="711"/>
      <c r="I4" s="711"/>
    </row>
    <row r="5" spans="2:12">
      <c r="E5" s="1025" t="s">
        <v>984</v>
      </c>
      <c r="F5" s="1026"/>
      <c r="G5" s="1026"/>
      <c r="H5" s="1026"/>
      <c r="I5" s="1027"/>
      <c r="K5" s="1025" t="s">
        <v>990</v>
      </c>
      <c r="L5" s="1027"/>
    </row>
    <row r="6" spans="2:12">
      <c r="B6" s="713" t="s">
        <v>650</v>
      </c>
      <c r="C6" s="713" t="s">
        <v>983</v>
      </c>
      <c r="E6" s="1028" t="s">
        <v>985</v>
      </c>
      <c r="F6" s="1030" t="s">
        <v>986</v>
      </c>
      <c r="G6" s="1030" t="s">
        <v>987</v>
      </c>
      <c r="H6" s="1030" t="s">
        <v>988</v>
      </c>
      <c r="I6" s="1030" t="s">
        <v>989</v>
      </c>
      <c r="K6" s="1032" t="s">
        <v>1604</v>
      </c>
      <c r="L6" s="1032" t="s">
        <v>1120</v>
      </c>
    </row>
    <row r="7" spans="2:12">
      <c r="B7" s="740" t="s">
        <v>1418</v>
      </c>
      <c r="C7" s="740"/>
      <c r="E7" s="1029"/>
      <c r="F7" s="1031"/>
      <c r="G7" s="1031"/>
      <c r="H7" s="1031"/>
      <c r="I7" s="1031"/>
      <c r="K7" s="1032"/>
      <c r="L7" s="1032"/>
    </row>
    <row r="8" spans="2:12">
      <c r="B8" s="689" t="s">
        <v>0</v>
      </c>
      <c r="C8" s="723">
        <f>'Cost summary'!H8</f>
        <v>0</v>
      </c>
      <c r="D8" s="723"/>
      <c r="E8" s="751">
        <v>0</v>
      </c>
      <c r="F8" s="751">
        <v>0</v>
      </c>
      <c r="G8" s="751">
        <v>0</v>
      </c>
      <c r="H8" s="751">
        <v>0</v>
      </c>
      <c r="I8" s="751">
        <v>0</v>
      </c>
      <c r="K8" s="741">
        <f>IFERROR((SUM(E8:I8)/C8),0)</f>
        <v>0</v>
      </c>
      <c r="L8" s="742">
        <f>SUM(C8-(SUM(E8:I8)))</f>
        <v>0</v>
      </c>
    </row>
    <row r="9" spans="2:12" ht="30">
      <c r="B9" s="689" t="s">
        <v>2</v>
      </c>
      <c r="C9" s="723">
        <f>'Cost summary'!H9</f>
        <v>0</v>
      </c>
      <c r="D9" s="723"/>
      <c r="E9" s="751">
        <v>0</v>
      </c>
      <c r="F9" s="751">
        <v>0</v>
      </c>
      <c r="G9" s="751">
        <v>0</v>
      </c>
      <c r="H9" s="751">
        <v>0</v>
      </c>
      <c r="I9" s="751">
        <v>0</v>
      </c>
      <c r="K9" s="741">
        <f t="shared" ref="K9:K35" si="0">IFERROR((SUM(E9:I9)/C9),0)</f>
        <v>0</v>
      </c>
      <c r="L9" s="742">
        <f t="shared" ref="L9:L35" si="1">SUM(C9-(SUM(E9:I9)))</f>
        <v>0</v>
      </c>
    </row>
    <row r="10" spans="2:12">
      <c r="B10" s="689" t="s">
        <v>3</v>
      </c>
      <c r="C10" s="723">
        <f>'Cost summary'!H10</f>
        <v>0</v>
      </c>
      <c r="D10" s="723"/>
      <c r="E10" s="751">
        <v>0</v>
      </c>
      <c r="F10" s="751">
        <v>0</v>
      </c>
      <c r="G10" s="751">
        <v>0</v>
      </c>
      <c r="H10" s="751">
        <v>0</v>
      </c>
      <c r="I10" s="751">
        <v>0</v>
      </c>
      <c r="K10" s="741">
        <f t="shared" si="0"/>
        <v>0</v>
      </c>
      <c r="L10" s="742">
        <f t="shared" si="1"/>
        <v>0</v>
      </c>
    </row>
    <row r="11" spans="2:12">
      <c r="B11" s="743" t="s">
        <v>1419</v>
      </c>
      <c r="C11" s="744"/>
      <c r="D11" s="723"/>
      <c r="E11" s="723"/>
      <c r="F11" s="723"/>
      <c r="G11" s="723"/>
      <c r="H11" s="723"/>
      <c r="I11" s="723"/>
      <c r="K11" s="741">
        <f t="shared" si="0"/>
        <v>0</v>
      </c>
      <c r="L11" s="742">
        <f t="shared" si="1"/>
        <v>0</v>
      </c>
    </row>
    <row r="12" spans="2:12">
      <c r="B12" s="689" t="s">
        <v>5</v>
      </c>
      <c r="C12" s="723">
        <f>'Cost summary'!H13</f>
        <v>0</v>
      </c>
      <c r="D12" s="723"/>
      <c r="E12" s="751">
        <v>0</v>
      </c>
      <c r="F12" s="751">
        <v>0</v>
      </c>
      <c r="G12" s="751">
        <v>0</v>
      </c>
      <c r="H12" s="751">
        <v>0</v>
      </c>
      <c r="I12" s="751">
        <v>0</v>
      </c>
      <c r="K12" s="741">
        <f t="shared" si="0"/>
        <v>0</v>
      </c>
      <c r="L12" s="742">
        <f t="shared" si="1"/>
        <v>0</v>
      </c>
    </row>
    <row r="13" spans="2:12">
      <c r="B13" s="689" t="s">
        <v>7</v>
      </c>
      <c r="C13" s="723">
        <f>'Cost summary'!H14</f>
        <v>0</v>
      </c>
      <c r="D13" s="723"/>
      <c r="E13" s="751">
        <v>0</v>
      </c>
      <c r="F13" s="751">
        <v>0</v>
      </c>
      <c r="G13" s="751">
        <v>0</v>
      </c>
      <c r="H13" s="751">
        <v>0</v>
      </c>
      <c r="I13" s="751">
        <v>0</v>
      </c>
      <c r="K13" s="741">
        <f t="shared" si="0"/>
        <v>0</v>
      </c>
      <c r="L13" s="742">
        <f t="shared" si="1"/>
        <v>0</v>
      </c>
    </row>
    <row r="14" spans="2:12">
      <c r="B14" s="689" t="s">
        <v>9</v>
      </c>
      <c r="C14" s="723">
        <f>'Cost summary'!H15</f>
        <v>0</v>
      </c>
      <c r="D14" s="723"/>
      <c r="E14" s="751">
        <v>0</v>
      </c>
      <c r="F14" s="751">
        <v>0</v>
      </c>
      <c r="G14" s="751">
        <v>0</v>
      </c>
      <c r="H14" s="751">
        <v>0</v>
      </c>
      <c r="I14" s="751">
        <v>0</v>
      </c>
      <c r="K14" s="741">
        <f t="shared" si="0"/>
        <v>0</v>
      </c>
      <c r="L14" s="742">
        <f t="shared" si="1"/>
        <v>0</v>
      </c>
    </row>
    <row r="15" spans="2:12">
      <c r="B15" s="689" t="s">
        <v>11</v>
      </c>
      <c r="C15" s="723">
        <f>'Cost summary'!H16</f>
        <v>0</v>
      </c>
      <c r="D15" s="723"/>
      <c r="E15" s="751">
        <v>0</v>
      </c>
      <c r="F15" s="751">
        <v>0</v>
      </c>
      <c r="G15" s="751">
        <v>0</v>
      </c>
      <c r="H15" s="751">
        <v>0</v>
      </c>
      <c r="I15" s="751">
        <v>0</v>
      </c>
      <c r="K15" s="741">
        <f t="shared" si="0"/>
        <v>0</v>
      </c>
      <c r="L15" s="742">
        <f t="shared" si="1"/>
        <v>0</v>
      </c>
    </row>
    <row r="16" spans="2:12">
      <c r="B16" s="689" t="s">
        <v>1213</v>
      </c>
      <c r="C16" s="723">
        <f>'Cost summary'!H17</f>
        <v>0</v>
      </c>
      <c r="D16" s="723"/>
      <c r="E16" s="751">
        <v>0</v>
      </c>
      <c r="F16" s="751">
        <v>0</v>
      </c>
      <c r="G16" s="751">
        <v>0</v>
      </c>
      <c r="H16" s="751">
        <v>0</v>
      </c>
      <c r="I16" s="751">
        <v>0</v>
      </c>
      <c r="K16" s="741">
        <f t="shared" si="0"/>
        <v>0</v>
      </c>
      <c r="L16" s="742">
        <f t="shared" si="1"/>
        <v>0</v>
      </c>
    </row>
    <row r="17" spans="2:12">
      <c r="B17" s="689" t="s">
        <v>33</v>
      </c>
      <c r="C17" s="723">
        <f>'Cost summary'!H18</f>
        <v>0</v>
      </c>
      <c r="D17" s="723"/>
      <c r="E17" s="751">
        <v>0</v>
      </c>
      <c r="F17" s="751">
        <v>0</v>
      </c>
      <c r="G17" s="751">
        <v>0</v>
      </c>
      <c r="H17" s="751">
        <v>0</v>
      </c>
      <c r="I17" s="751">
        <v>0</v>
      </c>
      <c r="K17" s="741">
        <f t="shared" si="0"/>
        <v>0</v>
      </c>
      <c r="L17" s="742">
        <f t="shared" si="1"/>
        <v>0</v>
      </c>
    </row>
    <row r="18" spans="2:12">
      <c r="B18" s="689" t="s">
        <v>13</v>
      </c>
      <c r="C18" s="723">
        <f>'Cost summary'!H19</f>
        <v>0</v>
      </c>
      <c r="D18" s="723"/>
      <c r="E18" s="751">
        <v>0</v>
      </c>
      <c r="F18" s="751">
        <v>0</v>
      </c>
      <c r="G18" s="751">
        <v>0</v>
      </c>
      <c r="H18" s="751">
        <v>0</v>
      </c>
      <c r="I18" s="751">
        <v>0</v>
      </c>
      <c r="K18" s="741">
        <f t="shared" si="0"/>
        <v>0</v>
      </c>
      <c r="L18" s="742">
        <f t="shared" si="1"/>
        <v>0</v>
      </c>
    </row>
    <row r="19" spans="2:12">
      <c r="B19" s="743" t="s">
        <v>1384</v>
      </c>
      <c r="C19" s="744"/>
      <c r="D19" s="723"/>
      <c r="E19" s="723"/>
      <c r="F19" s="723"/>
      <c r="G19" s="723"/>
      <c r="H19" s="723"/>
      <c r="I19" s="723"/>
      <c r="K19" s="741">
        <f t="shared" si="0"/>
        <v>0</v>
      </c>
      <c r="L19" s="742">
        <f t="shared" si="1"/>
        <v>0</v>
      </c>
    </row>
    <row r="20" spans="2:12">
      <c r="B20" s="689" t="s">
        <v>19</v>
      </c>
      <c r="C20" s="723">
        <f>'Cost summary'!H22</f>
        <v>0</v>
      </c>
      <c r="D20" s="723"/>
      <c r="E20" s="751">
        <v>0</v>
      </c>
      <c r="F20" s="751">
        <v>0</v>
      </c>
      <c r="G20" s="751">
        <v>0</v>
      </c>
      <c r="H20" s="751">
        <v>0</v>
      </c>
      <c r="I20" s="751">
        <v>0</v>
      </c>
      <c r="K20" s="741">
        <f t="shared" si="0"/>
        <v>0</v>
      </c>
      <c r="L20" s="742">
        <f t="shared" si="1"/>
        <v>0</v>
      </c>
    </row>
    <row r="21" spans="2:12">
      <c r="B21" s="689" t="s">
        <v>680</v>
      </c>
      <c r="C21" s="723">
        <f>'Cost summary'!H23</f>
        <v>0</v>
      </c>
      <c r="D21" s="723"/>
      <c r="E21" s="751">
        <v>0</v>
      </c>
      <c r="F21" s="751">
        <v>0</v>
      </c>
      <c r="G21" s="751">
        <v>0</v>
      </c>
      <c r="H21" s="751">
        <v>0</v>
      </c>
      <c r="I21" s="751">
        <v>0</v>
      </c>
      <c r="K21" s="741">
        <f t="shared" si="0"/>
        <v>0</v>
      </c>
      <c r="L21" s="742">
        <f t="shared" si="1"/>
        <v>0</v>
      </c>
    </row>
    <row r="22" spans="2:12">
      <c r="B22" s="689" t="s">
        <v>23</v>
      </c>
      <c r="C22" s="723">
        <f>'Cost summary'!H24</f>
        <v>0</v>
      </c>
      <c r="D22" s="723"/>
      <c r="E22" s="751">
        <v>0</v>
      </c>
      <c r="F22" s="751">
        <v>0</v>
      </c>
      <c r="G22" s="751">
        <v>0</v>
      </c>
      <c r="H22" s="751">
        <v>0</v>
      </c>
      <c r="I22" s="751">
        <v>0</v>
      </c>
      <c r="K22" s="741">
        <f t="shared" si="0"/>
        <v>0</v>
      </c>
      <c r="L22" s="742">
        <f t="shared" si="1"/>
        <v>0</v>
      </c>
    </row>
    <row r="23" spans="2:12">
      <c r="B23" s="689" t="s">
        <v>25</v>
      </c>
      <c r="C23" s="723">
        <f>'Cost summary'!H25</f>
        <v>0</v>
      </c>
      <c r="D23" s="723"/>
      <c r="E23" s="751">
        <v>0</v>
      </c>
      <c r="F23" s="751">
        <v>0</v>
      </c>
      <c r="G23" s="751">
        <v>0</v>
      </c>
      <c r="H23" s="751">
        <v>0</v>
      </c>
      <c r="I23" s="751">
        <v>0</v>
      </c>
      <c r="K23" s="741">
        <f t="shared" si="0"/>
        <v>0</v>
      </c>
      <c r="L23" s="742">
        <f t="shared" si="1"/>
        <v>0</v>
      </c>
    </row>
    <row r="24" spans="2:12">
      <c r="B24" s="689" t="s">
        <v>1423</v>
      </c>
      <c r="C24" s="723">
        <f>'Cost summary'!H26</f>
        <v>0</v>
      </c>
      <c r="D24" s="723"/>
      <c r="E24" s="751">
        <v>0</v>
      </c>
      <c r="F24" s="751">
        <v>0</v>
      </c>
      <c r="G24" s="751">
        <v>0</v>
      </c>
      <c r="H24" s="751">
        <v>0</v>
      </c>
      <c r="I24" s="751">
        <v>0</v>
      </c>
      <c r="K24" s="741">
        <f t="shared" si="0"/>
        <v>0</v>
      </c>
      <c r="L24" s="742">
        <f t="shared" si="1"/>
        <v>0</v>
      </c>
    </row>
    <row r="25" spans="2:12">
      <c r="B25" s="689" t="s">
        <v>29</v>
      </c>
      <c r="C25" s="723">
        <f>'Cost summary'!H27</f>
        <v>0</v>
      </c>
      <c r="D25" s="723"/>
      <c r="E25" s="751">
        <v>0</v>
      </c>
      <c r="F25" s="751">
        <v>0</v>
      </c>
      <c r="G25" s="751">
        <v>0</v>
      </c>
      <c r="H25" s="751">
        <v>0</v>
      </c>
      <c r="I25" s="751">
        <v>0</v>
      </c>
      <c r="K25" s="741">
        <f t="shared" si="0"/>
        <v>0</v>
      </c>
      <c r="L25" s="742">
        <f t="shared" si="1"/>
        <v>0</v>
      </c>
    </row>
    <row r="26" spans="2:12">
      <c r="B26" s="689" t="s">
        <v>31</v>
      </c>
      <c r="C26" s="723">
        <f>'Cost summary'!H28</f>
        <v>0</v>
      </c>
      <c r="D26" s="723"/>
      <c r="E26" s="751">
        <v>0</v>
      </c>
      <c r="F26" s="751">
        <v>0</v>
      </c>
      <c r="G26" s="751">
        <v>0</v>
      </c>
      <c r="H26" s="751">
        <v>0</v>
      </c>
      <c r="I26" s="751">
        <v>0</v>
      </c>
      <c r="K26" s="741">
        <f t="shared" si="0"/>
        <v>0</v>
      </c>
      <c r="L26" s="742">
        <f t="shared" si="1"/>
        <v>0</v>
      </c>
    </row>
    <row r="27" spans="2:12">
      <c r="B27" s="689" t="s">
        <v>33</v>
      </c>
      <c r="C27" s="723">
        <f>'Cost summary'!H29</f>
        <v>0</v>
      </c>
      <c r="D27" s="723"/>
      <c r="E27" s="751">
        <v>0</v>
      </c>
      <c r="F27" s="751">
        <v>0</v>
      </c>
      <c r="G27" s="751">
        <v>0</v>
      </c>
      <c r="H27" s="751">
        <v>0</v>
      </c>
      <c r="I27" s="751">
        <v>0</v>
      </c>
      <c r="K27" s="741">
        <f t="shared" si="0"/>
        <v>0</v>
      </c>
      <c r="L27" s="742">
        <f t="shared" si="1"/>
        <v>0</v>
      </c>
    </row>
    <row r="28" spans="2:12">
      <c r="B28" s="689" t="s">
        <v>35</v>
      </c>
      <c r="C28" s="723">
        <f>'Cost summary'!H30</f>
        <v>0</v>
      </c>
      <c r="D28" s="723"/>
      <c r="E28" s="751">
        <v>0</v>
      </c>
      <c r="F28" s="751">
        <v>0</v>
      </c>
      <c r="G28" s="751">
        <v>0</v>
      </c>
      <c r="H28" s="751">
        <v>0</v>
      </c>
      <c r="I28" s="751">
        <v>0</v>
      </c>
      <c r="K28" s="741">
        <f t="shared" si="0"/>
        <v>0</v>
      </c>
      <c r="L28" s="742">
        <f t="shared" si="1"/>
        <v>0</v>
      </c>
    </row>
    <row r="29" spans="2:12">
      <c r="B29" s="689" t="s">
        <v>0</v>
      </c>
      <c r="C29" s="723">
        <f>'Cost summary'!H31</f>
        <v>0</v>
      </c>
      <c r="D29" s="723"/>
      <c r="E29" s="751">
        <v>0</v>
      </c>
      <c r="F29" s="751">
        <v>0</v>
      </c>
      <c r="G29" s="751">
        <v>0</v>
      </c>
      <c r="H29" s="751">
        <v>0</v>
      </c>
      <c r="I29" s="751">
        <v>0</v>
      </c>
      <c r="K29" s="741">
        <f t="shared" si="0"/>
        <v>0</v>
      </c>
      <c r="L29" s="742">
        <f t="shared" si="1"/>
        <v>0</v>
      </c>
    </row>
    <row r="30" spans="2:12">
      <c r="B30" s="689" t="s">
        <v>38</v>
      </c>
      <c r="C30" s="723">
        <f>'Cost summary'!H32</f>
        <v>0</v>
      </c>
      <c r="D30" s="723"/>
      <c r="E30" s="751">
        <v>0</v>
      </c>
      <c r="F30" s="751">
        <v>0</v>
      </c>
      <c r="G30" s="751">
        <v>0</v>
      </c>
      <c r="H30" s="751">
        <v>0</v>
      </c>
      <c r="I30" s="751">
        <v>0</v>
      </c>
      <c r="K30" s="741">
        <f t="shared" si="0"/>
        <v>0</v>
      </c>
      <c r="L30" s="742">
        <f t="shared" si="1"/>
        <v>0</v>
      </c>
    </row>
    <row r="31" spans="2:12">
      <c r="B31" s="689" t="s">
        <v>40</v>
      </c>
      <c r="C31" s="723">
        <f>'Cost summary'!H33</f>
        <v>0</v>
      </c>
      <c r="D31" s="723"/>
      <c r="E31" s="751">
        <v>0</v>
      </c>
      <c r="F31" s="751">
        <v>0</v>
      </c>
      <c r="G31" s="751">
        <v>0</v>
      </c>
      <c r="H31" s="751">
        <v>0</v>
      </c>
      <c r="I31" s="751">
        <v>0</v>
      </c>
      <c r="K31" s="741">
        <f t="shared" si="0"/>
        <v>0</v>
      </c>
      <c r="L31" s="742">
        <f t="shared" si="1"/>
        <v>0</v>
      </c>
    </row>
    <row r="32" spans="2:12">
      <c r="B32" s="689" t="s">
        <v>42</v>
      </c>
      <c r="C32" s="723">
        <f>'Cost summary'!H34</f>
        <v>0</v>
      </c>
      <c r="D32" s="723"/>
      <c r="E32" s="751">
        <v>0</v>
      </c>
      <c r="F32" s="751">
        <v>0</v>
      </c>
      <c r="G32" s="751">
        <v>0</v>
      </c>
      <c r="H32" s="751">
        <v>0</v>
      </c>
      <c r="I32" s="751">
        <v>0</v>
      </c>
      <c r="K32" s="741">
        <f t="shared" si="0"/>
        <v>0</v>
      </c>
      <c r="L32" s="742">
        <f t="shared" si="1"/>
        <v>0</v>
      </c>
    </row>
    <row r="33" spans="2:12">
      <c r="B33" s="689" t="s">
        <v>44</v>
      </c>
      <c r="C33" s="723">
        <f>'Cost summary'!H35</f>
        <v>0</v>
      </c>
      <c r="D33" s="723"/>
      <c r="E33" s="751">
        <v>0</v>
      </c>
      <c r="F33" s="751">
        <v>0</v>
      </c>
      <c r="G33" s="751">
        <v>0</v>
      </c>
      <c r="H33" s="751">
        <v>0</v>
      </c>
      <c r="I33" s="751">
        <v>0</v>
      </c>
      <c r="K33" s="741">
        <f t="shared" si="0"/>
        <v>0</v>
      </c>
      <c r="L33" s="742">
        <f t="shared" si="1"/>
        <v>0</v>
      </c>
    </row>
    <row r="34" spans="2:12" ht="15.75" hidden="1" thickTop="1">
      <c r="B34" s="747" t="s">
        <v>1461</v>
      </c>
      <c r="C34" s="723">
        <f>'Cost summary'!H36</f>
        <v>0</v>
      </c>
      <c r="D34" s="723"/>
      <c r="E34" s="742">
        <f>SUM(E20:E33)</f>
        <v>0</v>
      </c>
      <c r="F34" s="742">
        <f>SUM(F20:F33)</f>
        <v>0</v>
      </c>
      <c r="G34" s="742">
        <f>SUM(G20:G33)</f>
        <v>0</v>
      </c>
      <c r="H34" s="742">
        <f>SUM(H20:H33)</f>
        <v>0</v>
      </c>
      <c r="I34" s="742">
        <f>SUM(I20:I33)</f>
        <v>0</v>
      </c>
      <c r="K34" s="741">
        <f t="shared" si="0"/>
        <v>0</v>
      </c>
      <c r="L34" s="742">
        <f t="shared" si="1"/>
        <v>0</v>
      </c>
    </row>
    <row r="35" spans="2:12" hidden="1">
      <c r="B35" s="747" t="s">
        <v>631</v>
      </c>
      <c r="C35" s="723">
        <f>'Cost summary'!H37</f>
        <v>0</v>
      </c>
      <c r="D35" s="723"/>
      <c r="E35" s="742">
        <f>SUM(E8:E10,E12:E18)</f>
        <v>0</v>
      </c>
      <c r="F35" s="742">
        <f>SUM(F8:F10,F12:F18)</f>
        <v>0</v>
      </c>
      <c r="G35" s="742">
        <f>SUM(G8:G10,G12:G18)</f>
        <v>0</v>
      </c>
      <c r="H35" s="742">
        <f>SUM(H8:H10,H12:H18)</f>
        <v>0</v>
      </c>
      <c r="I35" s="742">
        <f>SUM(I8:I10,I12:I18)</f>
        <v>0</v>
      </c>
      <c r="K35" s="741">
        <f t="shared" si="0"/>
        <v>0</v>
      </c>
      <c r="L35" s="742">
        <f t="shared" si="1"/>
        <v>0</v>
      </c>
    </row>
    <row r="36" spans="2:12">
      <c r="B36" s="974" t="s">
        <v>1641</v>
      </c>
      <c r="C36" s="744"/>
      <c r="E36" s="742"/>
      <c r="F36" s="742"/>
      <c r="G36" s="742"/>
      <c r="H36" s="742"/>
      <c r="I36" s="742"/>
      <c r="K36" s="741"/>
      <c r="L36" s="742"/>
    </row>
    <row r="37" spans="2:12">
      <c r="B37" s="689" t="str">
        <f>'Cybersecurity costs'!$B$7</f>
        <v>Assessment and planning</v>
      </c>
      <c r="C37" s="723">
        <f>'Cost summary'!H40</f>
        <v>0</v>
      </c>
      <c r="D37" s="723"/>
      <c r="E37" s="751">
        <v>0</v>
      </c>
      <c r="F37" s="751">
        <v>0</v>
      </c>
      <c r="G37" s="751">
        <v>0</v>
      </c>
      <c r="H37" s="751">
        <v>0</v>
      </c>
      <c r="I37" s="751">
        <v>0</v>
      </c>
      <c r="K37" s="741">
        <f t="shared" ref="K37" si="2">IFERROR((SUM(E37:I37)/C37),0)</f>
        <v>0</v>
      </c>
      <c r="L37" s="742">
        <f t="shared" ref="L37" si="3">SUM(C37-(SUM(E37:I37)))</f>
        <v>0</v>
      </c>
    </row>
    <row r="38" spans="2:12">
      <c r="B38" s="689" t="str">
        <f>'Cybersecurity costs'!$B$33</f>
        <v>Policies and documentation</v>
      </c>
      <c r="C38" s="723">
        <f>'Cost summary'!H41</f>
        <v>0</v>
      </c>
      <c r="D38" s="723"/>
      <c r="E38" s="751">
        <v>0</v>
      </c>
      <c r="F38" s="751">
        <v>0</v>
      </c>
      <c r="G38" s="751">
        <v>0</v>
      </c>
      <c r="H38" s="751">
        <v>0</v>
      </c>
      <c r="I38" s="751">
        <v>0</v>
      </c>
      <c r="K38" s="741">
        <f t="shared" ref="K38:K49" si="4">IFERROR((SUM(E38:I38)/C38),0)</f>
        <v>0</v>
      </c>
      <c r="L38" s="742">
        <f t="shared" ref="L38:L49" si="5">SUM(C38-(SUM(E38:I38)))</f>
        <v>0</v>
      </c>
    </row>
    <row r="39" spans="2:12">
      <c r="B39" s="689" t="str">
        <f>'Cybersecurity costs'!$B$58</f>
        <v>Identification, authentication, and access control</v>
      </c>
      <c r="C39" s="723">
        <f>'Cost summary'!H42</f>
        <v>0</v>
      </c>
      <c r="D39" s="723"/>
      <c r="E39" s="751">
        <v>0</v>
      </c>
      <c r="F39" s="751">
        <v>0</v>
      </c>
      <c r="G39" s="751">
        <v>0</v>
      </c>
      <c r="H39" s="751">
        <v>0</v>
      </c>
      <c r="I39" s="751">
        <v>0</v>
      </c>
      <c r="K39" s="741">
        <f t="shared" si="4"/>
        <v>0</v>
      </c>
      <c r="L39" s="742">
        <f t="shared" si="5"/>
        <v>0</v>
      </c>
    </row>
    <row r="40" spans="2:12">
      <c r="B40" s="689" t="str">
        <f>'Cybersecurity costs'!$B$93</f>
        <v>Software safeguards</v>
      </c>
      <c r="C40" s="723">
        <f>'Cost summary'!H43</f>
        <v>0</v>
      </c>
      <c r="D40" s="723"/>
      <c r="E40" s="751">
        <v>0</v>
      </c>
      <c r="F40" s="751">
        <v>0</v>
      </c>
      <c r="G40" s="751">
        <v>0</v>
      </c>
      <c r="H40" s="751">
        <v>0</v>
      </c>
      <c r="I40" s="751">
        <v>0</v>
      </c>
      <c r="K40" s="741">
        <f t="shared" si="4"/>
        <v>0</v>
      </c>
      <c r="L40" s="742">
        <f t="shared" si="5"/>
        <v>0</v>
      </c>
    </row>
    <row r="41" spans="2:12">
      <c r="B41" s="689" t="str">
        <f>'Cybersecurity costs'!$B$124</f>
        <v>Data backup and recovery</v>
      </c>
      <c r="C41" s="723">
        <f>'Cost summary'!H44</f>
        <v>0</v>
      </c>
      <c r="D41" s="723"/>
      <c r="E41" s="751">
        <v>0</v>
      </c>
      <c r="F41" s="751">
        <v>0</v>
      </c>
      <c r="G41" s="751">
        <v>0</v>
      </c>
      <c r="H41" s="751">
        <v>0</v>
      </c>
      <c r="I41" s="751">
        <v>0</v>
      </c>
      <c r="K41" s="741">
        <f t="shared" si="4"/>
        <v>0</v>
      </c>
      <c r="L41" s="742">
        <f t="shared" si="5"/>
        <v>0</v>
      </c>
    </row>
    <row r="42" spans="2:12">
      <c r="B42" s="689" t="str">
        <f>'Cybersecurity costs'!$B$159</f>
        <v>Incident response</v>
      </c>
      <c r="C42" s="723">
        <f>'Cost summary'!H45</f>
        <v>0</v>
      </c>
      <c r="D42" s="723"/>
      <c r="E42" s="751">
        <v>0</v>
      </c>
      <c r="F42" s="751">
        <v>0</v>
      </c>
      <c r="G42" s="751">
        <v>0</v>
      </c>
      <c r="H42" s="751">
        <v>0</v>
      </c>
      <c r="I42" s="751">
        <v>0</v>
      </c>
      <c r="K42" s="741">
        <f t="shared" si="4"/>
        <v>0</v>
      </c>
      <c r="L42" s="742">
        <f t="shared" si="5"/>
        <v>0</v>
      </c>
    </row>
    <row r="43" spans="2:12">
      <c r="B43" s="689" t="str">
        <f>'Cybersecurity costs'!$B$191</f>
        <v>System monitoring</v>
      </c>
      <c r="C43" s="723">
        <f>'Cost summary'!H46</f>
        <v>0</v>
      </c>
      <c r="D43" s="723"/>
      <c r="E43" s="751">
        <v>0</v>
      </c>
      <c r="F43" s="751">
        <v>0</v>
      </c>
      <c r="G43" s="751">
        <v>0</v>
      </c>
      <c r="H43" s="751">
        <v>0</v>
      </c>
      <c r="I43" s="751">
        <v>0</v>
      </c>
      <c r="K43" s="741">
        <f t="shared" si="4"/>
        <v>0</v>
      </c>
      <c r="L43" s="742">
        <f t="shared" si="5"/>
        <v>0</v>
      </c>
    </row>
    <row r="44" spans="2:12">
      <c r="B44" s="689" t="str">
        <f>'Cybersecurity costs'!$B$222</f>
        <v>Physical security</v>
      </c>
      <c r="C44" s="723">
        <f>'Cost summary'!H47</f>
        <v>0</v>
      </c>
      <c r="D44" s="723"/>
      <c r="E44" s="751">
        <v>0</v>
      </c>
      <c r="F44" s="751">
        <v>0</v>
      </c>
      <c r="G44" s="751">
        <v>0</v>
      </c>
      <c r="H44" s="751">
        <v>0</v>
      </c>
      <c r="I44" s="751">
        <v>0</v>
      </c>
      <c r="K44" s="741">
        <f t="shared" si="4"/>
        <v>0</v>
      </c>
      <c r="L44" s="742">
        <f t="shared" si="5"/>
        <v>0</v>
      </c>
    </row>
    <row r="45" spans="2:12">
      <c r="B45" s="689" t="str">
        <f>'Cybersecurity costs'!$B$251</f>
        <v>Device management and disposal</v>
      </c>
      <c r="C45" s="723">
        <f>'Cost summary'!H48</f>
        <v>0</v>
      </c>
      <c r="D45" s="723"/>
      <c r="E45" s="751">
        <v>0</v>
      </c>
      <c r="F45" s="751">
        <v>0</v>
      </c>
      <c r="G45" s="751">
        <v>0</v>
      </c>
      <c r="H45" s="751">
        <v>0</v>
      </c>
      <c r="I45" s="751">
        <v>0</v>
      </c>
      <c r="K45" s="741">
        <f t="shared" si="4"/>
        <v>0</v>
      </c>
      <c r="L45" s="742">
        <f t="shared" si="5"/>
        <v>0</v>
      </c>
    </row>
    <row r="46" spans="2:12">
      <c r="B46" s="689" t="str">
        <f>'Cybersecurity costs'!$B$280</f>
        <v>Audits and testing</v>
      </c>
      <c r="C46" s="723">
        <f>'Cost summary'!H49</f>
        <v>0</v>
      </c>
      <c r="D46" s="723"/>
      <c r="E46" s="751">
        <v>0</v>
      </c>
      <c r="F46" s="751">
        <v>0</v>
      </c>
      <c r="G46" s="751">
        <v>0</v>
      </c>
      <c r="H46" s="751">
        <v>0</v>
      </c>
      <c r="I46" s="751">
        <v>0</v>
      </c>
      <c r="K46" s="741">
        <f t="shared" si="4"/>
        <v>0</v>
      </c>
      <c r="L46" s="742">
        <f t="shared" si="5"/>
        <v>0</v>
      </c>
    </row>
    <row r="47" spans="2:12">
      <c r="B47" s="689" t="str">
        <f>'Cybersecurity costs'!$B$305</f>
        <v>Configuration and updates</v>
      </c>
      <c r="C47" s="723">
        <f>'Cost summary'!H50</f>
        <v>0</v>
      </c>
      <c r="D47" s="723"/>
      <c r="E47" s="751">
        <v>0</v>
      </c>
      <c r="F47" s="751">
        <v>0</v>
      </c>
      <c r="G47" s="751">
        <v>0</v>
      </c>
      <c r="H47" s="751">
        <v>0</v>
      </c>
      <c r="I47" s="751">
        <v>0</v>
      </c>
      <c r="K47" s="741">
        <f t="shared" si="4"/>
        <v>0</v>
      </c>
      <c r="L47" s="742">
        <f t="shared" si="5"/>
        <v>0</v>
      </c>
    </row>
    <row r="48" spans="2:12">
      <c r="B48" s="689" t="str">
        <f>'Cybersecurity costs'!$B$336</f>
        <v>Network and transmission</v>
      </c>
      <c r="C48" s="723">
        <f>'Cost summary'!H51</f>
        <v>0</v>
      </c>
      <c r="D48" s="723"/>
      <c r="E48" s="751">
        <v>0</v>
      </c>
      <c r="F48" s="751">
        <v>0</v>
      </c>
      <c r="G48" s="751">
        <v>0</v>
      </c>
      <c r="H48" s="751">
        <v>0</v>
      </c>
      <c r="I48" s="751">
        <v>0</v>
      </c>
      <c r="K48" s="741">
        <f t="shared" si="4"/>
        <v>0</v>
      </c>
      <c r="L48" s="742">
        <f t="shared" si="5"/>
        <v>0</v>
      </c>
    </row>
    <row r="49" spans="2:12">
      <c r="B49" s="689" t="str">
        <f>'Cybersecurity costs'!$B$371</f>
        <v>Training and professional development</v>
      </c>
      <c r="C49" s="723">
        <f>'Cost summary'!H52</f>
        <v>0</v>
      </c>
      <c r="D49" s="723"/>
      <c r="E49" s="751">
        <v>0</v>
      </c>
      <c r="F49" s="751">
        <v>0</v>
      </c>
      <c r="G49" s="751">
        <v>0</v>
      </c>
      <c r="H49" s="751">
        <v>0</v>
      </c>
      <c r="I49" s="751">
        <v>0</v>
      </c>
      <c r="K49" s="741">
        <f t="shared" si="4"/>
        <v>0</v>
      </c>
      <c r="L49" s="742">
        <f t="shared" si="5"/>
        <v>0</v>
      </c>
    </row>
    <row r="50" spans="2:12">
      <c r="B50" s="974" t="s">
        <v>1637</v>
      </c>
      <c r="C50" s="744"/>
      <c r="D50" s="723"/>
      <c r="E50" s="742"/>
      <c r="F50" s="742"/>
      <c r="G50" s="742"/>
      <c r="H50" s="742"/>
      <c r="I50" s="742"/>
      <c r="K50" s="741"/>
      <c r="L50" s="742"/>
    </row>
    <row r="51" spans="2:12">
      <c r="B51" s="689" t="str">
        <f>'Cybersecurity costs'!$B$7</f>
        <v>Assessment and planning</v>
      </c>
      <c r="C51" s="723">
        <f>'Cost summary'!H55</f>
        <v>0</v>
      </c>
      <c r="D51" s="723"/>
      <c r="E51" s="751">
        <v>0</v>
      </c>
      <c r="F51" s="751">
        <v>0</v>
      </c>
      <c r="G51" s="751">
        <v>0</v>
      </c>
      <c r="H51" s="751">
        <v>0</v>
      </c>
      <c r="I51" s="751">
        <v>0</v>
      </c>
      <c r="K51" s="741">
        <f t="shared" ref="K51:K63" si="6">IFERROR((SUM(E51:I51)/C51),0)</f>
        <v>0</v>
      </c>
      <c r="L51" s="742">
        <f t="shared" ref="L51:L63" si="7">SUM(C51-(SUM(E51:I51)))</f>
        <v>0</v>
      </c>
    </row>
    <row r="52" spans="2:12">
      <c r="B52" s="689" t="str">
        <f>'Cybersecurity costs'!$B$33</f>
        <v>Policies and documentation</v>
      </c>
      <c r="C52" s="723">
        <f>'Cost summary'!H56</f>
        <v>0</v>
      </c>
      <c r="D52" s="723"/>
      <c r="E52" s="751">
        <v>0</v>
      </c>
      <c r="F52" s="751">
        <v>0</v>
      </c>
      <c r="G52" s="751">
        <v>0</v>
      </c>
      <c r="H52" s="751">
        <v>0</v>
      </c>
      <c r="I52" s="751">
        <v>0</v>
      </c>
      <c r="K52" s="741">
        <f t="shared" si="6"/>
        <v>0</v>
      </c>
      <c r="L52" s="742">
        <f t="shared" si="7"/>
        <v>0</v>
      </c>
    </row>
    <row r="53" spans="2:12">
      <c r="B53" s="689" t="str">
        <f>'Cybersecurity costs'!$B$58</f>
        <v>Identification, authentication, and access control</v>
      </c>
      <c r="C53" s="723">
        <f>'Cost summary'!H57</f>
        <v>0</v>
      </c>
      <c r="D53" s="723"/>
      <c r="E53" s="751">
        <v>0</v>
      </c>
      <c r="F53" s="751">
        <v>0</v>
      </c>
      <c r="G53" s="751">
        <v>0</v>
      </c>
      <c r="H53" s="751">
        <v>0</v>
      </c>
      <c r="I53" s="751">
        <v>0</v>
      </c>
      <c r="K53" s="741">
        <f t="shared" si="6"/>
        <v>0</v>
      </c>
      <c r="L53" s="742">
        <f t="shared" si="7"/>
        <v>0</v>
      </c>
    </row>
    <row r="54" spans="2:12">
      <c r="B54" s="689" t="str">
        <f>'Cybersecurity costs'!$B$93</f>
        <v>Software safeguards</v>
      </c>
      <c r="C54" s="723">
        <f>'Cost summary'!H58</f>
        <v>0</v>
      </c>
      <c r="D54" s="723"/>
      <c r="E54" s="751">
        <v>0</v>
      </c>
      <c r="F54" s="751">
        <v>0</v>
      </c>
      <c r="G54" s="751">
        <v>0</v>
      </c>
      <c r="H54" s="751">
        <v>0</v>
      </c>
      <c r="I54" s="751">
        <v>0</v>
      </c>
      <c r="K54" s="741">
        <f t="shared" si="6"/>
        <v>0</v>
      </c>
      <c r="L54" s="742">
        <f t="shared" si="7"/>
        <v>0</v>
      </c>
    </row>
    <row r="55" spans="2:12">
      <c r="B55" s="689" t="str">
        <f>'Cybersecurity costs'!$B$124</f>
        <v>Data backup and recovery</v>
      </c>
      <c r="C55" s="723">
        <f>'Cost summary'!H59</f>
        <v>0</v>
      </c>
      <c r="D55" s="723"/>
      <c r="E55" s="751">
        <v>0</v>
      </c>
      <c r="F55" s="751">
        <v>0</v>
      </c>
      <c r="G55" s="751">
        <v>0</v>
      </c>
      <c r="H55" s="751">
        <v>0</v>
      </c>
      <c r="I55" s="751">
        <v>0</v>
      </c>
      <c r="K55" s="741">
        <f t="shared" si="6"/>
        <v>0</v>
      </c>
      <c r="L55" s="742">
        <f t="shared" si="7"/>
        <v>0</v>
      </c>
    </row>
    <row r="56" spans="2:12">
      <c r="B56" s="689" t="str">
        <f>'Cybersecurity costs'!$B$159</f>
        <v>Incident response</v>
      </c>
      <c r="C56" s="723">
        <f>'Cost summary'!H60</f>
        <v>0</v>
      </c>
      <c r="D56" s="723"/>
      <c r="E56" s="751">
        <v>0</v>
      </c>
      <c r="F56" s="751">
        <v>0</v>
      </c>
      <c r="G56" s="751">
        <v>0</v>
      </c>
      <c r="H56" s="751">
        <v>0</v>
      </c>
      <c r="I56" s="751">
        <v>0</v>
      </c>
      <c r="K56" s="741">
        <f t="shared" si="6"/>
        <v>0</v>
      </c>
      <c r="L56" s="742">
        <f t="shared" si="7"/>
        <v>0</v>
      </c>
    </row>
    <row r="57" spans="2:12">
      <c r="B57" s="689" t="str">
        <f>'Cybersecurity costs'!$B$191</f>
        <v>System monitoring</v>
      </c>
      <c r="C57" s="723">
        <f>'Cost summary'!H61</f>
        <v>0</v>
      </c>
      <c r="D57" s="723"/>
      <c r="E57" s="751">
        <v>0</v>
      </c>
      <c r="F57" s="751">
        <v>0</v>
      </c>
      <c r="G57" s="751">
        <v>0</v>
      </c>
      <c r="H57" s="751">
        <v>0</v>
      </c>
      <c r="I57" s="751">
        <v>0</v>
      </c>
      <c r="K57" s="741">
        <f t="shared" si="6"/>
        <v>0</v>
      </c>
      <c r="L57" s="742">
        <f t="shared" si="7"/>
        <v>0</v>
      </c>
    </row>
    <row r="58" spans="2:12">
      <c r="B58" s="689" t="str">
        <f>'Cybersecurity costs'!$B$222</f>
        <v>Physical security</v>
      </c>
      <c r="C58" s="723">
        <f>'Cost summary'!H62</f>
        <v>0</v>
      </c>
      <c r="D58" s="723"/>
      <c r="E58" s="751">
        <v>0</v>
      </c>
      <c r="F58" s="751">
        <v>0</v>
      </c>
      <c r="G58" s="751">
        <v>0</v>
      </c>
      <c r="H58" s="751">
        <v>0</v>
      </c>
      <c r="I58" s="751">
        <v>0</v>
      </c>
      <c r="K58" s="741">
        <f t="shared" si="6"/>
        <v>0</v>
      </c>
      <c r="L58" s="742">
        <f t="shared" si="7"/>
        <v>0</v>
      </c>
    </row>
    <row r="59" spans="2:12">
      <c r="B59" s="689" t="str">
        <f>'Cybersecurity costs'!$B$251</f>
        <v>Device management and disposal</v>
      </c>
      <c r="C59" s="723">
        <f>'Cost summary'!H63</f>
        <v>0</v>
      </c>
      <c r="D59" s="723"/>
      <c r="E59" s="751">
        <v>0</v>
      </c>
      <c r="F59" s="751">
        <v>0</v>
      </c>
      <c r="G59" s="751">
        <v>0</v>
      </c>
      <c r="H59" s="751">
        <v>0</v>
      </c>
      <c r="I59" s="751">
        <v>0</v>
      </c>
      <c r="K59" s="741">
        <f t="shared" si="6"/>
        <v>0</v>
      </c>
      <c r="L59" s="742">
        <f t="shared" si="7"/>
        <v>0</v>
      </c>
    </row>
    <row r="60" spans="2:12">
      <c r="B60" s="689" t="str">
        <f>'Cybersecurity costs'!$B$280</f>
        <v>Audits and testing</v>
      </c>
      <c r="C60" s="723">
        <f>'Cost summary'!H64</f>
        <v>0</v>
      </c>
      <c r="D60" s="723"/>
      <c r="E60" s="751">
        <v>0</v>
      </c>
      <c r="F60" s="751">
        <v>0</v>
      </c>
      <c r="G60" s="751">
        <v>0</v>
      </c>
      <c r="H60" s="751">
        <v>0</v>
      </c>
      <c r="I60" s="751">
        <v>0</v>
      </c>
      <c r="K60" s="741">
        <f t="shared" si="6"/>
        <v>0</v>
      </c>
      <c r="L60" s="742">
        <f t="shared" si="7"/>
        <v>0</v>
      </c>
    </row>
    <row r="61" spans="2:12">
      <c r="B61" s="689" t="str">
        <f>'Cybersecurity costs'!$B$305</f>
        <v>Configuration and updates</v>
      </c>
      <c r="C61" s="723">
        <f>'Cost summary'!H65</f>
        <v>0</v>
      </c>
      <c r="D61" s="723"/>
      <c r="E61" s="751">
        <v>0</v>
      </c>
      <c r="F61" s="751">
        <v>0</v>
      </c>
      <c r="G61" s="751">
        <v>0</v>
      </c>
      <c r="H61" s="751">
        <v>0</v>
      </c>
      <c r="I61" s="751">
        <v>0</v>
      </c>
      <c r="K61" s="741">
        <f t="shared" si="6"/>
        <v>0</v>
      </c>
      <c r="L61" s="742">
        <f t="shared" si="7"/>
        <v>0</v>
      </c>
    </row>
    <row r="62" spans="2:12">
      <c r="B62" s="689" t="str">
        <f>'Cybersecurity costs'!$B$336</f>
        <v>Network and transmission</v>
      </c>
      <c r="C62" s="723">
        <f>'Cost summary'!H66</f>
        <v>0</v>
      </c>
      <c r="D62" s="723"/>
      <c r="E62" s="751">
        <v>0</v>
      </c>
      <c r="F62" s="751">
        <v>0</v>
      </c>
      <c r="G62" s="751">
        <v>0</v>
      </c>
      <c r="H62" s="751">
        <v>0</v>
      </c>
      <c r="I62" s="751">
        <v>0</v>
      </c>
      <c r="K62" s="741">
        <f t="shared" si="6"/>
        <v>0</v>
      </c>
      <c r="L62" s="742">
        <f t="shared" si="7"/>
        <v>0</v>
      </c>
    </row>
    <row r="63" spans="2:12" ht="15.75" thickBot="1">
      <c r="B63" s="745" t="str">
        <f>'Cybersecurity costs'!$B$371</f>
        <v>Training and professional development</v>
      </c>
      <c r="C63" s="746">
        <f>'Cost summary'!H67</f>
        <v>0</v>
      </c>
      <c r="D63" s="723"/>
      <c r="E63" s="751">
        <v>0</v>
      </c>
      <c r="F63" s="751">
        <v>0</v>
      </c>
      <c r="G63" s="751">
        <v>0</v>
      </c>
      <c r="H63" s="751">
        <v>0</v>
      </c>
      <c r="I63" s="751">
        <v>0</v>
      </c>
      <c r="K63" s="741">
        <f t="shared" si="6"/>
        <v>0</v>
      </c>
      <c r="L63" s="742">
        <f t="shared" si="7"/>
        <v>0</v>
      </c>
    </row>
    <row r="64" spans="2:12" ht="15.75" thickTop="1">
      <c r="B64" s="734" t="s">
        <v>632</v>
      </c>
      <c r="C64" s="748">
        <f>'Cost summary'!H69</f>
        <v>0</v>
      </c>
      <c r="D64" s="723"/>
      <c r="E64" s="749">
        <f>SUM(E8:E63)</f>
        <v>0</v>
      </c>
      <c r="F64" s="749">
        <f t="shared" ref="F64:I64" si="8">SUM(F8:F63)</f>
        <v>0</v>
      </c>
      <c r="G64" s="749">
        <f t="shared" si="8"/>
        <v>0</v>
      </c>
      <c r="H64" s="749">
        <f t="shared" si="8"/>
        <v>0</v>
      </c>
      <c r="I64" s="749">
        <f t="shared" si="8"/>
        <v>0</v>
      </c>
      <c r="K64" s="750">
        <f>IFERROR((SUM(E64:I64)/C64),0)</f>
        <v>0</v>
      </c>
      <c r="L64" s="749">
        <f>SUM(C64-(SUM(E64:I64)))</f>
        <v>0</v>
      </c>
    </row>
  </sheetData>
  <sheetProtection algorithmName="SHA-512" hashValue="3Bv1sygvSISSbKWXNTfd+4+byOCmUWycVcsVyAwxNXe0bY959C2YLpWyssp01ue/Sh1yeV/5L3rTwJvm9OCMdQ==" saltValue="KXTzEj5EbWAq0jOnBGYi4g==" spinCount="100000" sheet="1" formatColumns="0" formatRows="0"/>
  <mergeCells count="10">
    <mergeCell ref="B2:I2"/>
    <mergeCell ref="E5:I5"/>
    <mergeCell ref="K5:L5"/>
    <mergeCell ref="E6:E7"/>
    <mergeCell ref="F6:F7"/>
    <mergeCell ref="G6:G7"/>
    <mergeCell ref="H6:H7"/>
    <mergeCell ref="I6:I7"/>
    <mergeCell ref="K6:K7"/>
    <mergeCell ref="L6:L7"/>
  </mergeCells>
  <hyperlinks>
    <hyperlink ref="B1" location="Menu!D14" tooltip="Menu" display="&lt;&lt; Menu" xr:uid="{4846E520-C13D-D943-8E44-88F02018F70F}"/>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2CA6D-257F-4EEB-A0FB-2A538992EE59}">
  <sheetPr>
    <tabColor theme="7"/>
  </sheetPr>
  <dimension ref="A1:H55"/>
  <sheetViews>
    <sheetView zoomScale="120" zoomScaleNormal="120" workbookViewId="0">
      <selection activeCell="K23" sqref="K23"/>
    </sheetView>
  </sheetViews>
  <sheetFormatPr defaultRowHeight="15"/>
  <cols>
    <col min="1" max="1" width="2.85546875" customWidth="1"/>
    <col min="2" max="2" width="40.5703125" bestFit="1" customWidth="1"/>
    <col min="3" max="4" width="20.7109375" customWidth="1"/>
    <col min="5" max="5" width="2" hidden="1" customWidth="1"/>
    <col min="6" max="6" width="2.85546875" customWidth="1"/>
  </cols>
  <sheetData>
    <row r="1" spans="1:8">
      <c r="A1" s="991"/>
      <c r="B1" s="991"/>
      <c r="C1" s="991"/>
      <c r="D1" s="991"/>
      <c r="E1" s="991"/>
      <c r="F1" s="991"/>
    </row>
    <row r="2" spans="1:8">
      <c r="A2" s="991"/>
      <c r="B2" s="987" t="s">
        <v>1638</v>
      </c>
      <c r="C2" s="984"/>
      <c r="D2" s="984"/>
      <c r="F2" s="991"/>
      <c r="H2" s="287" t="s">
        <v>1751</v>
      </c>
    </row>
    <row r="3" spans="1:8">
      <c r="A3" s="991"/>
      <c r="B3" s="287" t="s">
        <v>1643</v>
      </c>
      <c r="C3" s="989" t="s">
        <v>1640</v>
      </c>
      <c r="D3" s="989" t="s">
        <v>1644</v>
      </c>
      <c r="E3" s="287" t="s">
        <v>1657</v>
      </c>
      <c r="F3" s="991"/>
      <c r="H3" t="s">
        <v>1752</v>
      </c>
    </row>
    <row r="4" spans="1:8">
      <c r="A4" s="991"/>
      <c r="B4" t="s">
        <v>1645</v>
      </c>
      <c r="C4" s="760"/>
      <c r="D4" s="988"/>
      <c r="E4" t="e">
        <f t="shared" ref="E4:E13" si="0">C4*(D4/SUM($D$4:$D$14))</f>
        <v>#DIV/0!</v>
      </c>
      <c r="F4" s="991"/>
      <c r="H4" t="s">
        <v>1753</v>
      </c>
    </row>
    <row r="5" spans="1:8">
      <c r="A5" s="991"/>
      <c r="B5" t="s">
        <v>1646</v>
      </c>
      <c r="C5" s="760"/>
      <c r="D5" s="988"/>
      <c r="E5" t="e">
        <f t="shared" si="0"/>
        <v>#DIV/0!</v>
      </c>
      <c r="F5" s="991"/>
      <c r="H5" t="s">
        <v>1754</v>
      </c>
    </row>
    <row r="6" spans="1:8">
      <c r="A6" s="991"/>
      <c r="B6" t="s">
        <v>1647</v>
      </c>
      <c r="C6" s="760"/>
      <c r="D6" s="988"/>
      <c r="E6" t="e">
        <f t="shared" si="0"/>
        <v>#DIV/0!</v>
      </c>
      <c r="F6" s="991"/>
      <c r="H6" t="s">
        <v>1755</v>
      </c>
    </row>
    <row r="7" spans="1:8">
      <c r="A7" s="991"/>
      <c r="B7" t="s">
        <v>1648</v>
      </c>
      <c r="C7" s="760"/>
      <c r="D7" s="988"/>
      <c r="E7" t="e">
        <f t="shared" si="0"/>
        <v>#DIV/0!</v>
      </c>
      <c r="F7" s="991"/>
      <c r="H7" t="s">
        <v>1756</v>
      </c>
    </row>
    <row r="8" spans="1:8">
      <c r="A8" s="991"/>
      <c r="B8" t="s">
        <v>1649</v>
      </c>
      <c r="C8" s="760"/>
      <c r="D8" s="988"/>
      <c r="E8" t="e">
        <f t="shared" si="0"/>
        <v>#DIV/0!</v>
      </c>
      <c r="F8" s="991"/>
      <c r="H8" t="s">
        <v>1757</v>
      </c>
    </row>
    <row r="9" spans="1:8">
      <c r="A9" s="991"/>
      <c r="B9" t="s">
        <v>1651</v>
      </c>
      <c r="C9" s="760"/>
      <c r="D9" s="988"/>
      <c r="E9" t="e">
        <f t="shared" si="0"/>
        <v>#DIV/0!</v>
      </c>
      <c r="F9" s="991"/>
      <c r="H9" t="s">
        <v>1758</v>
      </c>
    </row>
    <row r="10" spans="1:8">
      <c r="A10" s="991"/>
      <c r="B10" t="s">
        <v>1652</v>
      </c>
      <c r="C10" s="760"/>
      <c r="D10" s="988"/>
      <c r="E10" t="e">
        <f t="shared" si="0"/>
        <v>#DIV/0!</v>
      </c>
      <c r="F10" s="991"/>
      <c r="H10" t="s">
        <v>1759</v>
      </c>
    </row>
    <row r="11" spans="1:8">
      <c r="A11" s="991"/>
      <c r="B11" t="s">
        <v>1653</v>
      </c>
      <c r="C11" s="760"/>
      <c r="D11" s="988"/>
      <c r="E11" t="e">
        <f t="shared" si="0"/>
        <v>#DIV/0!</v>
      </c>
      <c r="F11" s="991"/>
      <c r="H11" t="s">
        <v>1760</v>
      </c>
    </row>
    <row r="12" spans="1:8">
      <c r="A12" s="991"/>
      <c r="B12" t="s">
        <v>1654</v>
      </c>
      <c r="C12" s="760"/>
      <c r="D12" s="988"/>
      <c r="E12" t="e">
        <f t="shared" si="0"/>
        <v>#DIV/0!</v>
      </c>
      <c r="F12" s="991"/>
      <c r="H12" t="s">
        <v>1761</v>
      </c>
    </row>
    <row r="13" spans="1:8">
      <c r="A13" s="991"/>
      <c r="B13" t="s">
        <v>1655</v>
      </c>
      <c r="C13" s="760"/>
      <c r="D13" s="988"/>
      <c r="E13" t="e">
        <f t="shared" si="0"/>
        <v>#DIV/0!</v>
      </c>
      <c r="F13" s="991"/>
      <c r="H13" t="s">
        <v>1762</v>
      </c>
    </row>
    <row r="14" spans="1:8" ht="14.25" customHeight="1">
      <c r="A14" s="991"/>
      <c r="B14" s="990" t="s">
        <v>1650</v>
      </c>
      <c r="C14" s="990"/>
      <c r="D14" s="990"/>
      <c r="F14" s="991"/>
      <c r="H14" t="s">
        <v>1763</v>
      </c>
    </row>
    <row r="15" spans="1:8" ht="15.75" thickBot="1">
      <c r="A15" s="991"/>
      <c r="F15" s="991"/>
      <c r="H15" t="s">
        <v>1764</v>
      </c>
    </row>
    <row r="16" spans="1:8" ht="15.75" thickBot="1">
      <c r="A16" s="991"/>
      <c r="B16" t="s">
        <v>1656</v>
      </c>
      <c r="C16" s="1037" t="str">
        <f>IFERROR(SUM($E$4:$E$14),"")</f>
        <v/>
      </c>
      <c r="D16" s="1038"/>
      <c r="F16" s="991"/>
    </row>
    <row r="17" spans="1:6" ht="15.75" thickBot="1">
      <c r="A17" s="991"/>
      <c r="F17" s="991"/>
    </row>
    <row r="18" spans="1:6" ht="15.75" thickBot="1">
      <c r="A18" s="991"/>
      <c r="B18" t="s">
        <v>1644</v>
      </c>
      <c r="C18" s="1034">
        <f>SUM($D$4:$D$14)</f>
        <v>0</v>
      </c>
      <c r="D18" s="1035"/>
      <c r="F18" s="991"/>
    </row>
    <row r="19" spans="1:6">
      <c r="A19" s="991"/>
      <c r="B19" s="991"/>
      <c r="C19" s="991"/>
      <c r="D19" s="991"/>
      <c r="E19" s="991"/>
      <c r="F19" s="991"/>
    </row>
    <row r="21" spans="1:6">
      <c r="A21" s="991"/>
      <c r="B21" s="991"/>
      <c r="C21" s="991"/>
      <c r="D21" s="991"/>
      <c r="E21" s="991"/>
      <c r="F21" s="991"/>
    </row>
    <row r="22" spans="1:6">
      <c r="A22" s="991"/>
      <c r="B22" s="987" t="s">
        <v>291</v>
      </c>
      <c r="C22" s="984"/>
      <c r="D22" s="984"/>
      <c r="F22" s="991"/>
    </row>
    <row r="23" spans="1:6">
      <c r="A23" s="991"/>
      <c r="B23" s="1036" t="s">
        <v>1443</v>
      </c>
      <c r="C23" s="1036"/>
      <c r="D23" s="989" t="s">
        <v>69</v>
      </c>
      <c r="F23" s="991"/>
    </row>
    <row r="24" spans="1:6">
      <c r="A24" s="991"/>
      <c r="B24" s="1033" t="s">
        <v>1660</v>
      </c>
      <c r="C24" s="1033"/>
      <c r="D24" s="988"/>
      <c r="F24" s="991"/>
    </row>
    <row r="25" spans="1:6">
      <c r="A25" s="991"/>
      <c r="B25" s="1033" t="s">
        <v>1661</v>
      </c>
      <c r="C25" s="1033"/>
      <c r="D25" s="988"/>
      <c r="F25" s="991"/>
    </row>
    <row r="26" spans="1:6">
      <c r="A26" s="991"/>
      <c r="B26" s="1033" t="s">
        <v>1662</v>
      </c>
      <c r="C26" s="1033"/>
      <c r="D26" s="988"/>
      <c r="F26" s="991"/>
    </row>
    <row r="27" spans="1:6">
      <c r="A27" s="991"/>
      <c r="B27" s="1033" t="s">
        <v>1663</v>
      </c>
      <c r="C27" s="1033"/>
      <c r="D27" s="988"/>
      <c r="F27" s="991"/>
    </row>
    <row r="28" spans="1:6">
      <c r="A28" s="991"/>
      <c r="B28" s="1033" t="s">
        <v>1664</v>
      </c>
      <c r="C28" s="1033"/>
      <c r="D28" s="988"/>
      <c r="F28" s="991"/>
    </row>
    <row r="29" spans="1:6">
      <c r="A29" s="991"/>
      <c r="B29" s="1033" t="s">
        <v>1665</v>
      </c>
      <c r="C29" s="1033"/>
      <c r="D29" s="988"/>
      <c r="F29" s="991"/>
    </row>
    <row r="30" spans="1:6">
      <c r="A30" s="991"/>
      <c r="B30" s="1033" t="s">
        <v>1666</v>
      </c>
      <c r="C30" s="1033"/>
      <c r="D30" s="988"/>
      <c r="F30" s="991"/>
    </row>
    <row r="31" spans="1:6">
      <c r="A31" s="991"/>
      <c r="B31" s="1033" t="s">
        <v>1667</v>
      </c>
      <c r="C31" s="1033"/>
      <c r="D31" s="988"/>
      <c r="F31" s="991"/>
    </row>
    <row r="32" spans="1:6">
      <c r="A32" s="991"/>
      <c r="B32" s="1033" t="s">
        <v>1668</v>
      </c>
      <c r="C32" s="1033"/>
      <c r="D32" s="988"/>
      <c r="F32" s="991"/>
    </row>
    <row r="33" spans="1:6">
      <c r="A33" s="991"/>
      <c r="B33" s="1033" t="s">
        <v>1669</v>
      </c>
      <c r="C33" s="1033"/>
      <c r="D33" s="988"/>
      <c r="F33" s="991"/>
    </row>
    <row r="34" spans="1:6">
      <c r="A34" s="991"/>
      <c r="B34" s="990" t="s">
        <v>1650</v>
      </c>
      <c r="C34" s="990"/>
      <c r="D34" s="990"/>
      <c r="F34" s="991"/>
    </row>
    <row r="35" spans="1:6" ht="15.75" thickBot="1">
      <c r="A35" s="991"/>
      <c r="F35" s="991"/>
    </row>
    <row r="36" spans="1:6" ht="15.75" thickBot="1">
      <c r="A36" s="991"/>
      <c r="B36" t="s">
        <v>1659</v>
      </c>
      <c r="C36" s="1034">
        <f>IFERROR(SUM($D$24:$D$34),"")</f>
        <v>0</v>
      </c>
      <c r="D36" s="1035"/>
      <c r="F36" s="991"/>
    </row>
    <row r="37" spans="1:6">
      <c r="A37" s="991"/>
      <c r="B37" s="991"/>
      <c r="C37" s="991"/>
      <c r="D37" s="991"/>
      <c r="E37" s="991"/>
      <c r="F37" s="991"/>
    </row>
    <row r="39" spans="1:6">
      <c r="A39" s="991"/>
      <c r="B39" s="991"/>
      <c r="C39" s="991"/>
      <c r="D39" s="991"/>
      <c r="E39" s="991"/>
      <c r="F39" s="991"/>
    </row>
    <row r="40" spans="1:6">
      <c r="A40" s="991"/>
      <c r="B40" s="987" t="s">
        <v>1639</v>
      </c>
      <c r="C40" s="984"/>
      <c r="D40" s="984"/>
      <c r="F40" s="991"/>
    </row>
    <row r="41" spans="1:6">
      <c r="A41" s="991"/>
      <c r="B41" s="1036" t="s">
        <v>1671</v>
      </c>
      <c r="C41" s="1036"/>
      <c r="D41" s="989" t="s">
        <v>69</v>
      </c>
      <c r="F41" s="991"/>
    </row>
    <row r="42" spans="1:6">
      <c r="A42" s="991"/>
      <c r="B42" s="1033" t="s">
        <v>1672</v>
      </c>
      <c r="C42" s="1033"/>
      <c r="D42" s="988"/>
      <c r="F42" s="991"/>
    </row>
    <row r="43" spans="1:6">
      <c r="A43" s="991"/>
      <c r="B43" s="1033" t="s">
        <v>1673</v>
      </c>
      <c r="C43" s="1033"/>
      <c r="D43" s="988"/>
      <c r="F43" s="991"/>
    </row>
    <row r="44" spans="1:6">
      <c r="A44" s="991"/>
      <c r="B44" s="1033" t="s">
        <v>1674</v>
      </c>
      <c r="C44" s="1033"/>
      <c r="D44" s="988"/>
      <c r="F44" s="991"/>
    </row>
    <row r="45" spans="1:6">
      <c r="A45" s="991"/>
      <c r="B45" s="1033" t="s">
        <v>1675</v>
      </c>
      <c r="C45" s="1033"/>
      <c r="D45" s="988"/>
      <c r="F45" s="991"/>
    </row>
    <row r="46" spans="1:6">
      <c r="A46" s="991"/>
      <c r="B46" s="1033" t="s">
        <v>1676</v>
      </c>
      <c r="C46" s="1033"/>
      <c r="D46" s="988"/>
      <c r="F46" s="991"/>
    </row>
    <row r="47" spans="1:6">
      <c r="A47" s="991"/>
      <c r="B47" s="1033" t="s">
        <v>1677</v>
      </c>
      <c r="C47" s="1033"/>
      <c r="D47" s="988"/>
      <c r="F47" s="991"/>
    </row>
    <row r="48" spans="1:6">
      <c r="A48" s="991"/>
      <c r="B48" s="1033" t="s">
        <v>1678</v>
      </c>
      <c r="C48" s="1033"/>
      <c r="D48" s="988"/>
      <c r="F48" s="991"/>
    </row>
    <row r="49" spans="1:6">
      <c r="A49" s="991"/>
      <c r="B49" s="1033" t="s">
        <v>1679</v>
      </c>
      <c r="C49" s="1033"/>
      <c r="D49" s="988"/>
      <c r="F49" s="991"/>
    </row>
    <row r="50" spans="1:6">
      <c r="A50" s="991"/>
      <c r="B50" s="1033" t="s">
        <v>1680</v>
      </c>
      <c r="C50" s="1033"/>
      <c r="D50" s="988"/>
      <c r="F50" s="991"/>
    </row>
    <row r="51" spans="1:6">
      <c r="A51" s="991"/>
      <c r="B51" s="1033" t="s">
        <v>1681</v>
      </c>
      <c r="C51" s="1033"/>
      <c r="D51" s="988"/>
      <c r="F51" s="991"/>
    </row>
    <row r="52" spans="1:6">
      <c r="A52" s="991"/>
      <c r="B52" s="990" t="s">
        <v>1650</v>
      </c>
      <c r="C52" s="990"/>
      <c r="D52" s="990"/>
      <c r="F52" s="991"/>
    </row>
    <row r="53" spans="1:6" ht="15.75" thickBot="1">
      <c r="A53" s="991"/>
      <c r="F53" s="991"/>
    </row>
    <row r="54" spans="1:6" ht="15.75" thickBot="1">
      <c r="A54" s="991"/>
      <c r="B54" t="s">
        <v>1659</v>
      </c>
      <c r="C54" s="1034">
        <f>IFERROR(SUM($D$42:$D$52),"")</f>
        <v>0</v>
      </c>
      <c r="D54" s="1035"/>
      <c r="F54" s="991"/>
    </row>
    <row r="55" spans="1:6">
      <c r="A55" s="991"/>
      <c r="B55" s="991"/>
      <c r="C55" s="991"/>
      <c r="D55" s="991"/>
      <c r="E55" s="991"/>
      <c r="F55" s="991"/>
    </row>
  </sheetData>
  <mergeCells count="26">
    <mergeCell ref="B33:C33"/>
    <mergeCell ref="C16:D16"/>
    <mergeCell ref="C18:D18"/>
    <mergeCell ref="C36:D36"/>
    <mergeCell ref="B23:C23"/>
    <mergeCell ref="B24:C24"/>
    <mergeCell ref="B25:C25"/>
    <mergeCell ref="B26:C26"/>
    <mergeCell ref="B27:C27"/>
    <mergeCell ref="B28:C28"/>
    <mergeCell ref="B29:C29"/>
    <mergeCell ref="B30:C30"/>
    <mergeCell ref="B31:C31"/>
    <mergeCell ref="B32:C32"/>
    <mergeCell ref="B49:C49"/>
    <mergeCell ref="B50:C50"/>
    <mergeCell ref="B51:C51"/>
    <mergeCell ref="C54:D54"/>
    <mergeCell ref="B41:C41"/>
    <mergeCell ref="B42:C42"/>
    <mergeCell ref="B43:C43"/>
    <mergeCell ref="B44:C44"/>
    <mergeCell ref="B45:C45"/>
    <mergeCell ref="B46:C46"/>
    <mergeCell ref="B47:C47"/>
    <mergeCell ref="B48:C48"/>
  </mergeCells>
  <phoneticPr fontId="9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38A6A-EFFD-45FD-95A0-C16CD442096B}">
  <sheetPr>
    <tabColor theme="9" tint="-0.249977111117893"/>
  </sheetPr>
  <dimension ref="A1:I42"/>
  <sheetViews>
    <sheetView showGridLines="0" topLeftCell="B1" zoomScale="80" zoomScaleNormal="80" workbookViewId="0">
      <pane ySplit="4" topLeftCell="A5" activePane="bottomLeft" state="frozen"/>
      <selection activeCell="C284" sqref="C284"/>
      <selection pane="bottomLeft" activeCell="C8" sqref="C8"/>
    </sheetView>
  </sheetViews>
  <sheetFormatPr defaultColWidth="10.85546875" defaultRowHeight="15" outlineLevelCol="1"/>
  <cols>
    <col min="1" max="1" width="2" style="698" customWidth="1"/>
    <col min="2" max="2" width="68.42578125" style="698" customWidth="1"/>
    <col min="3" max="3" width="20" style="780" customWidth="1"/>
    <col min="4" max="4" width="20" style="698" customWidth="1"/>
    <col min="5" max="5" width="80" style="786" customWidth="1"/>
    <col min="6" max="6" width="42.5703125" style="698" hidden="1" customWidth="1" outlineLevel="1"/>
    <col min="7" max="7" width="10.85546875" style="698" collapsed="1"/>
    <col min="8" max="8" width="17.5703125" style="698" customWidth="1"/>
    <col min="9" max="9" width="11.140625" style="698" bestFit="1" customWidth="1"/>
    <col min="10" max="16384" width="10.85546875" style="698"/>
  </cols>
  <sheetData>
    <row r="1" spans="1:9">
      <c r="A1" s="689"/>
      <c r="B1" s="739" t="s">
        <v>1621</v>
      </c>
      <c r="C1" s="763"/>
      <c r="D1" s="689"/>
      <c r="E1" s="747"/>
      <c r="F1" s="689"/>
    </row>
    <row r="2" spans="1:9" ht="32.1" customHeight="1">
      <c r="A2" s="689"/>
      <c r="B2" s="1010" t="s">
        <v>992</v>
      </c>
      <c r="C2" s="1011"/>
      <c r="D2" s="1011"/>
      <c r="E2" s="1012"/>
      <c r="F2" s="764"/>
    </row>
    <row r="4" spans="1:9" ht="32.1" customHeight="1">
      <c r="C4" s="802" t="s">
        <v>993</v>
      </c>
      <c r="D4" s="768" t="s">
        <v>1642</v>
      </c>
      <c r="E4" s="803" t="s">
        <v>995</v>
      </c>
      <c r="F4" s="770" t="s">
        <v>958</v>
      </c>
    </row>
    <row r="5" spans="1:9" s="689" customFormat="1" ht="125.1" customHeight="1">
      <c r="B5" s="771" t="s">
        <v>1636</v>
      </c>
      <c r="C5" s="804"/>
      <c r="D5" s="805"/>
      <c r="E5" s="805"/>
      <c r="F5" s="805"/>
      <c r="H5" s="725"/>
    </row>
    <row r="6" spans="1:9" s="689" customFormat="1">
      <c r="C6" s="763"/>
      <c r="E6" s="747"/>
    </row>
    <row r="7" spans="1:9" ht="30">
      <c r="B7" s="983" t="s">
        <v>1688</v>
      </c>
      <c r="C7" s="984"/>
      <c r="D7" s="984"/>
      <c r="E7" s="826" t="s">
        <v>1699</v>
      </c>
      <c r="F7"/>
    </row>
    <row r="8" spans="1:9" s="689" customFormat="1" ht="45">
      <c r="A8" s="698"/>
      <c r="B8" s="985" t="str">
        <f>_xlfn.CONCAT("Will the implementation require ","'",$B7,"'","? (Select 'Yes' or 'No')")</f>
        <v>Will the implementation require 'TEMPLATE'? (Select 'Yes' or 'No')</v>
      </c>
      <c r="C8" s="976" t="s">
        <v>65</v>
      </c>
      <c r="D8" s="979"/>
      <c r="E8" s="980" t="str">
        <f>_xlfn.CONCAT("Consider completing a self-assessment tool, such as the Data Security Assessment Tool (DSAT) Lite version (DSAT-Lite), to determine if ","'",$B7,"'"," is required (and which elements).")</f>
        <v>Consider completing a self-assessment tool, such as the Data Security Assessment Tool (DSAT) Lite version (DSAT-Lite), to determine if 'TEMPLATE' is required (and which elements).</v>
      </c>
      <c r="F8" s="814"/>
      <c r="H8" s="725"/>
    </row>
    <row r="9" spans="1:9" s="689" customFormat="1" ht="75">
      <c r="A9" s="698"/>
      <c r="B9" s="985" t="str">
        <f>_xlfn.CONCAT("Are there costs attributable to ","'",$B7,"'"," for this implementation? (Select 'Yes' or 'No')")</f>
        <v>Are there costs attributable to 'TEMPLATE' for this implementation? (Select 'Yes' or 'No')</v>
      </c>
      <c r="C9" s="977" t="s">
        <v>65</v>
      </c>
      <c r="D9" s="979"/>
      <c r="E9" s="981" t="str">
        <f>IF($C8="Yes",_xlfn.CONCAT("It is likely there are costs to consider. This may include new costs (not included in existing budgets) or a portion of costs in existing budgets.",CHAR(10),CHAR(10),"The response should only be 'No' if all costs required for this activity would be incurred even if this implementation did not take place."),"")</f>
        <v>It is likely there are costs to consider. This may include new costs (not included in existing budgets) or a portion of costs in existing budgets.
The response should only be 'No' if all costs required for this activity would be incurred even if this implementation did not take place.</v>
      </c>
      <c r="F9" s="814"/>
      <c r="H9" s="973"/>
      <c r="I9" s="972"/>
    </row>
    <row r="10" spans="1:9" s="689" customFormat="1">
      <c r="A10" s="698"/>
      <c r="B10"/>
      <c r="C10"/>
      <c r="D10"/>
      <c r="E10"/>
      <c r="F10" s="814"/>
      <c r="H10" s="973"/>
      <c r="I10" s="972"/>
    </row>
    <row r="11" spans="1:9" s="689" customFormat="1" ht="48.75" customHeight="1">
      <c r="A11" s="698"/>
      <c r="B11" s="993" t="str">
        <f>_xlfn.CONCAT("Enter any one-time costs for ","'",$B7,"'"," attributable to this implementation.")</f>
        <v>Enter any one-time costs for 'TEMPLATE' attributable to this implementation.</v>
      </c>
      <c r="C11" s="994"/>
      <c r="D11" s="994"/>
      <c r="E11" s="992" t="str">
        <f>IF($C8="Yes",IF($C9="Yes","Consider if there are any one-time activities during the 'Development' and/or 'Deployment' phases of implementation.",""),"")</f>
        <v>Consider if there are any one-time activities during the 'Development' and/or 'Deployment' phases of implementation.</v>
      </c>
      <c r="F11" s="814"/>
    </row>
    <row r="12" spans="1:9" s="689" customFormat="1">
      <c r="A12" s="698"/>
      <c r="B12" s="995" t="s">
        <v>1638</v>
      </c>
      <c r="C12" s="996"/>
      <c r="D12" s="997"/>
      <c r="E12" s="998"/>
      <c r="F12" s="814"/>
      <c r="H12" s="973"/>
    </row>
    <row r="13" spans="1:9" s="689" customFormat="1" ht="45" customHeight="1">
      <c r="A13" s="698"/>
      <c r="B13" s="985" t="str">
        <f>_xlfn.CONCAT("Enter the daily rate for a single staff worker working on ","'",B7,".'")</f>
        <v>Enter the daily rate for a single staff worker working on 'TEMPLATE.'</v>
      </c>
      <c r="C13" s="978"/>
      <c r="D13" s="979"/>
      <c r="E13" s="1017" t="str">
        <f>IF($C8="Yes",IF($C9="Yes",_xlfn.CONCAT("If multiple staff with different roles (and daily rates) are needed to complete this activity, please use the 'Calculator' tab to calculate the weighted daily rate and the total number of days."," ","Paste the values from 'Daily rate (weighted)' and 'Days' here."),""),"")</f>
        <v>If multiple staff with different roles (and daily rates) are needed to complete this activity, please use the 'Calculator' tab to calculate the weighted daily rate and the total number of days. Paste the values from 'Daily rate (weighted)' and 'Days' here.</v>
      </c>
      <c r="F13" s="814"/>
      <c r="H13" s="973"/>
    </row>
    <row r="14" spans="1:9" s="689" customFormat="1" ht="30">
      <c r="A14" s="698"/>
      <c r="B14" s="985" t="str">
        <f>_xlfn.CONCAT("Enter the level of effort (number of days) needed to complete ","'",B7,".'")</f>
        <v>Enter the level of effort (number of days) needed to complete 'TEMPLATE.'</v>
      </c>
      <c r="C14" s="978"/>
      <c r="D14" s="979"/>
      <c r="E14" s="1017"/>
      <c r="F14" s="814"/>
      <c r="H14" s="973"/>
    </row>
    <row r="15" spans="1:9" s="689" customFormat="1">
      <c r="A15" s="698"/>
      <c r="B15"/>
      <c r="C15"/>
      <c r="D15"/>
      <c r="E15"/>
      <c r="F15" s="814"/>
      <c r="H15" s="973"/>
    </row>
    <row r="16" spans="1:9" s="689" customFormat="1" ht="30">
      <c r="A16" s="698"/>
      <c r="B16" s="995" t="s">
        <v>5</v>
      </c>
      <c r="C16" s="996"/>
      <c r="D16" s="997"/>
      <c r="E16" s="998" t="str">
        <f>IF($C8="Yes",IF($C9="Yes",_xlfn.CONCAT("Enter the cost of any equipment needed for this activity within the 'Deployment costs' tab as 'Any other equipment' under the 'Equipment' section."),""),"")</f>
        <v>Enter the cost of any equipment needed for this activity within the 'Deployment costs' tab as 'Any other equipment' under the 'Equipment' section.</v>
      </c>
      <c r="F16" s="814"/>
      <c r="H16" s="725"/>
    </row>
    <row r="17" spans="1:8" s="689" customFormat="1">
      <c r="A17" s="698"/>
      <c r="B17" s="985"/>
      <c r="C17" s="999"/>
      <c r="D17" s="1000"/>
      <c r="E17" s="982"/>
      <c r="F17" s="814"/>
      <c r="H17" s="725"/>
    </row>
    <row r="18" spans="1:8" s="689" customFormat="1">
      <c r="A18" s="698"/>
      <c r="B18" s="995" t="s">
        <v>291</v>
      </c>
      <c r="C18" s="996"/>
      <c r="D18" s="997"/>
      <c r="E18" s="998"/>
      <c r="F18" s="814"/>
      <c r="H18" s="725"/>
    </row>
    <row r="19" spans="1:8" s="689" customFormat="1" ht="30" customHeight="1">
      <c r="A19" s="698"/>
      <c r="B19" s="985" t="s">
        <v>1683</v>
      </c>
      <c r="C19" s="978"/>
      <c r="D19" s="979"/>
      <c r="E19" s="981" t="str">
        <f>IF($C8="Yes",IF($C9="Yes",_xlfn.CONCAT("If multiple software licenses are required, use the 'Calculator' tab to sum the cost for all software licenses. Paste the values from 'Total cost' here."),""),"")</f>
        <v>If multiple software licenses are required, use the 'Calculator' tab to sum the cost for all software licenses. Paste the values from 'Total cost' here.</v>
      </c>
      <c r="F19" s="814"/>
      <c r="H19" s="725"/>
    </row>
    <row r="20" spans="1:8" s="689" customFormat="1">
      <c r="A20" s="698"/>
      <c r="B20"/>
      <c r="C20"/>
      <c r="D20"/>
      <c r="E20"/>
      <c r="F20" s="814"/>
      <c r="H20" s="725"/>
    </row>
    <row r="21" spans="1:8" s="689" customFormat="1">
      <c r="A21" s="698"/>
      <c r="B21" s="995" t="s">
        <v>1639</v>
      </c>
      <c r="C21" s="996"/>
      <c r="D21" s="997"/>
      <c r="E21" s="998"/>
      <c r="F21" s="814"/>
      <c r="H21" s="725"/>
    </row>
    <row r="22" spans="1:8" s="689" customFormat="1" ht="90">
      <c r="A22" s="698"/>
      <c r="B22" s="985" t="s">
        <v>1670</v>
      </c>
      <c r="C22" s="978"/>
      <c r="D22" s="979"/>
      <c r="E22" s="986" t="str">
        <f>IF($C8="Yes",IF($C9="Yes",_xlfn.CONCAT("Contracted services often take the place of personnel costs. However, it is possible that personnel costs are still required even if contracted services are used (e.g., personnel to manage the contractors).",CHAR(10),CHAR(10),"If multiple contracted services are required, use the 'Calculator' tab to sum the cost for all contracted services. Paste the value from 'Total cost' here."),""),"")</f>
        <v>Contracted services often take the place of personnel costs. However, it is possible that personnel costs are still required even if contracted services are used (e.g., personnel to manage the contractors).
If multiple contracted services are required, use the 'Calculator' tab to sum the cost for all contracted services. Paste the value from 'Total cost' here.</v>
      </c>
      <c r="F22" s="814"/>
      <c r="H22" s="725"/>
    </row>
    <row r="23" spans="1:8" s="689" customFormat="1">
      <c r="A23" s="698"/>
      <c r="B23"/>
      <c r="C23"/>
      <c r="D23"/>
      <c r="E23"/>
      <c r="F23" s="814"/>
      <c r="H23" s="725"/>
    </row>
    <row r="24" spans="1:8" s="689" customFormat="1">
      <c r="A24" s="698"/>
      <c r="B24" s="995" t="s">
        <v>1682</v>
      </c>
      <c r="C24" s="996"/>
      <c r="D24" s="997"/>
      <c r="E24" s="998"/>
      <c r="F24" s="814"/>
      <c r="H24" s="725"/>
    </row>
    <row r="25" spans="1:8" s="689" customFormat="1" ht="90" customHeight="1">
      <c r="A25" s="698"/>
      <c r="B25" s="985" t="s">
        <v>1687</v>
      </c>
      <c r="C25" s="978"/>
      <c r="D25" s="979"/>
      <c r="E25" s="986"/>
      <c r="F25" s="814"/>
      <c r="H25" s="725"/>
    </row>
    <row r="26" spans="1:8" s="689" customFormat="1">
      <c r="A26" s="698"/>
      <c r="B26"/>
      <c r="C26"/>
      <c r="D26"/>
      <c r="E26"/>
      <c r="F26" s="814"/>
      <c r="H26" s="725"/>
    </row>
    <row r="27" spans="1:8" s="689" customFormat="1" ht="30">
      <c r="A27" s="698"/>
      <c r="B27" s="993" t="str">
        <f>_xlfn.CONCAT("Enter the annual recurring costs for ","'",$B7,"'"," attributable to this implementation.")</f>
        <v>Enter the annual recurring costs for 'TEMPLATE' attributable to this implementation.</v>
      </c>
      <c r="C27" s="994"/>
      <c r="D27" s="994" t="str">
        <f>IF($C8="Yes",IF($C9="Yes","",""),"")</f>
        <v/>
      </c>
      <c r="E27" s="992" t="str">
        <f>IF($C8="Yes",IF($C9="Yes",_xlfn.CONCAT("Consider which activities are intended to be repeated multiple times throughout all phases of implementation."),""),"")</f>
        <v>Consider which activities are intended to be repeated multiple times throughout all phases of implementation.</v>
      </c>
      <c r="F27" s="814"/>
      <c r="H27" s="725"/>
    </row>
    <row r="28" spans="1:8" s="689" customFormat="1">
      <c r="A28" s="698"/>
      <c r="B28" s="995" t="s">
        <v>1638</v>
      </c>
      <c r="C28" s="996"/>
      <c r="D28" s="997"/>
      <c r="E28" s="998"/>
      <c r="F28" s="814"/>
      <c r="H28" s="725"/>
    </row>
    <row r="29" spans="1:8" s="689" customFormat="1">
      <c r="A29" s="698"/>
      <c r="B29" s="985" t="str">
        <f>_xlfn.CONCAT("Enter the daily rate for a single staff worker working on ","'",B7,".'")</f>
        <v>Enter the daily rate for a single staff worker working on 'TEMPLATE.'</v>
      </c>
      <c r="C29" s="978"/>
      <c r="D29" s="979"/>
      <c r="E29" s="1017" t="str">
        <f>IF($C8="Yes",IF($C9="Yes",_xlfn.CONCAT("If multiple staff with different roles (and daily rates) are needed to complete this activity, please use the 'Calculator' tab to calculate the weighted daily rate and the total number of days."," ","Paste the values from 'Daily rate (weighted) and 'Days' here."),""),"")</f>
        <v>If multiple staff with different roles (and daily rates) are needed to complete this activity, please use the 'Calculator' tab to calculate the weighted daily rate and the total number of days. Paste the values from 'Daily rate (weighted) and 'Days' here.</v>
      </c>
      <c r="F29" s="814"/>
      <c r="H29" s="725"/>
    </row>
    <row r="30" spans="1:8" s="689" customFormat="1" ht="30">
      <c r="A30" s="698"/>
      <c r="B30" s="985" t="str">
        <f>_xlfn.CONCAT("Enter the level of effort (number of days) needed to complete ","'",B7,"' on an annual basis.")</f>
        <v>Enter the level of effort (number of days) needed to complete 'TEMPLATE' on an annual basis.</v>
      </c>
      <c r="C30" s="978"/>
      <c r="D30" s="979"/>
      <c r="E30" s="1017"/>
      <c r="F30" s="814"/>
      <c r="H30" s="725"/>
    </row>
    <row r="31" spans="1:8" s="689" customFormat="1">
      <c r="A31" s="698"/>
      <c r="B31"/>
      <c r="C31"/>
      <c r="D31"/>
      <c r="E31"/>
      <c r="F31" s="814"/>
      <c r="H31" s="725"/>
    </row>
    <row r="32" spans="1:8" s="689" customFormat="1" ht="60">
      <c r="A32" s="698"/>
      <c r="B32" s="995" t="s">
        <v>5</v>
      </c>
      <c r="C32" s="996"/>
      <c r="D32" s="997"/>
      <c r="E32" s="998" t="str">
        <f>IF($C8="Yes",IF($C9="Yes",_xlfn.CONCAT("Enter the cost of any equipment needed for this activity within the 'Deployment costs' tab as 'Any other equipment' under the 'Equipment' section", " and consider the annual replacement rate for this equipment within the 'Operations costs' tab under 'Equipment replacement.'"),""),"")</f>
        <v>Enter the cost of any equipment needed for this activity within the 'Deployment costs' tab as 'Any other equipment' under the 'Equipment' section and consider the annual replacement rate for this equipment within the 'Operations costs' tab under 'Equipment replacement.'</v>
      </c>
      <c r="F32" s="814"/>
      <c r="H32" s="725"/>
    </row>
    <row r="33" spans="1:8" s="689" customFormat="1">
      <c r="A33" s="698"/>
      <c r="B33" s="985"/>
      <c r="C33" s="999"/>
      <c r="D33" s="1000"/>
      <c r="E33" s="982"/>
      <c r="F33" s="814"/>
      <c r="H33" s="725"/>
    </row>
    <row r="34" spans="1:8" s="689" customFormat="1">
      <c r="A34" s="698"/>
      <c r="B34" s="995" t="s">
        <v>291</v>
      </c>
      <c r="C34" s="996"/>
      <c r="D34" s="997"/>
      <c r="E34" s="998"/>
      <c r="F34" s="814"/>
      <c r="H34" s="725"/>
    </row>
    <row r="35" spans="1:8" customFormat="1" ht="45">
      <c r="B35" s="985" t="s">
        <v>1684</v>
      </c>
      <c r="C35" s="978"/>
      <c r="D35" s="979"/>
      <c r="E35" s="981" t="str">
        <f>IF($C8="Yes",IF($C9="Yes",_xlfn.CONCAT("If multiple software licenses are required, use the 'Calculator' tab to sum the cost for all software licenses. Paste the values from 'Cost per user (weighted)' and 'Sites or users' here."),""),"")</f>
        <v>If multiple software licenses are required, use the 'Calculator' tab to sum the cost for all software licenses. Paste the values from 'Cost per user (weighted)' and 'Sites or users' here.</v>
      </c>
    </row>
    <row r="36" spans="1:8" s="689" customFormat="1">
      <c r="A36" s="698"/>
      <c r="B36"/>
      <c r="C36"/>
      <c r="D36"/>
      <c r="E36"/>
      <c r="F36" s="791"/>
    </row>
    <row r="37" spans="1:8" s="689" customFormat="1" ht="57.95" customHeight="1">
      <c r="A37" s="698"/>
      <c r="B37" s="995" t="s">
        <v>1639</v>
      </c>
      <c r="C37" s="996"/>
      <c r="D37" s="997"/>
      <c r="E37" s="998"/>
      <c r="F37" s="791"/>
    </row>
    <row r="38" spans="1:8" s="689" customFormat="1" ht="90">
      <c r="A38" s="698"/>
      <c r="B38" s="985" t="s">
        <v>1685</v>
      </c>
      <c r="C38" s="978"/>
      <c r="D38" s="979"/>
      <c r="E38" s="981" t="str">
        <f>IF($C8="Yes",IF($C9="Yes",_xlfn.CONCAT("Contracted services often take the place of personnel costs. However, it is possible that personnel costs are still required even if contracted services are used (e.g., personnel to manage the contractors).",CHAR(10),CHAR(10),"If multiple contracted services are required, use the 'Calculator' tab to sum the cost for all contracted services. Paste the value from 'Total cost' here."),""),"")</f>
        <v>Contracted services often take the place of personnel costs. However, it is possible that personnel costs are still required even if contracted services are used (e.g., personnel to manage the contractors).
If multiple contracted services are required, use the 'Calculator' tab to sum the cost for all contracted services. Paste the value from 'Total cost' here.</v>
      </c>
      <c r="F38" s="791"/>
    </row>
    <row r="39" spans="1:8" s="689" customFormat="1">
      <c r="A39" s="698"/>
      <c r="B39"/>
      <c r="C39"/>
      <c r="D39"/>
      <c r="E39"/>
      <c r="F39" s="791"/>
    </row>
    <row r="40" spans="1:8" s="689" customFormat="1" ht="57.95" customHeight="1">
      <c r="A40" s="698"/>
      <c r="B40" s="995" t="s">
        <v>1682</v>
      </c>
      <c r="C40" s="996"/>
      <c r="D40" s="997"/>
      <c r="E40" s="998"/>
      <c r="F40" s="791"/>
    </row>
    <row r="41" spans="1:8" ht="30">
      <c r="B41" s="985" t="s">
        <v>1686</v>
      </c>
      <c r="C41" s="978"/>
      <c r="D41" s="979"/>
      <c r="E41" s="986"/>
    </row>
    <row r="42" spans="1:8">
      <c r="B42"/>
      <c r="C42"/>
      <c r="D42"/>
      <c r="E42"/>
    </row>
  </sheetData>
  <sheetProtection formatColumns="0" formatRows="0"/>
  <mergeCells count="3">
    <mergeCell ref="B2:E2"/>
    <mergeCell ref="E13:E14"/>
    <mergeCell ref="E29:E30"/>
  </mergeCells>
  <conditionalFormatting sqref="B9 B11:B14 B16:B19 B21:B22 B24:B25 B27:B30 B32:B35 B37:B38 B40:B41">
    <cfRule type="expression" dxfId="57" priority="28">
      <formula>$C$8&lt;&gt;"Yes"</formula>
    </cfRule>
  </conditionalFormatting>
  <conditionalFormatting sqref="B11:B14 B16:B19 B21:B22 B24:B25 B27:B30 B32:B35 B37:B38 B40:B41">
    <cfRule type="expression" dxfId="56" priority="27">
      <formula>$C$9&lt;&gt;"Yes"</formula>
    </cfRule>
  </conditionalFormatting>
  <hyperlinks>
    <hyperlink ref="B1" location="Menu!D10" tooltip="Menu" display="&lt;&lt; Menu" xr:uid="{0963B789-1388-4FF6-A6D6-E433C06EE7BB}"/>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You can only enter Yes or No in this cell." xr:uid="{AD3B10CE-4D3D-486C-B795-F3400E98BF06}">
          <x14:formula1>
            <xm:f>'Value lists'!$A$1:$A$2</xm:f>
          </x14:formula1>
          <xm:sqref>C8:C9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56342-EF8C-4D56-BC89-6B16AF1F5AB9}">
  <sheetPr codeName="Sheet4">
    <tabColor rgb="FFFFC000"/>
  </sheetPr>
  <dimension ref="A1:H12"/>
  <sheetViews>
    <sheetView workbookViewId="0">
      <selection activeCell="D16" sqref="D16"/>
    </sheetView>
  </sheetViews>
  <sheetFormatPr defaultColWidth="8.5703125" defaultRowHeight="15"/>
  <cols>
    <col min="1" max="1" width="41.5703125" style="435" customWidth="1"/>
    <col min="2" max="2" width="26.140625" style="315" customWidth="1"/>
    <col min="3" max="3" width="4.85546875" style="315" customWidth="1"/>
    <col min="4" max="4" width="26.42578125" style="315" customWidth="1"/>
    <col min="5" max="5" width="11.5703125" style="315" customWidth="1"/>
    <col min="6" max="6" width="17.42578125" style="315" bestFit="1" customWidth="1"/>
    <col min="7" max="7" width="16.140625" style="315" bestFit="1" customWidth="1"/>
    <col min="8" max="8" width="15" style="315" bestFit="1" customWidth="1"/>
    <col min="9" max="16384" width="8.5703125" style="315"/>
  </cols>
  <sheetData>
    <row r="1" spans="1:8" ht="30">
      <c r="A1" s="561" t="s">
        <v>1296</v>
      </c>
      <c r="B1" s="562" t="s">
        <v>62</v>
      </c>
      <c r="D1" s="566" t="s">
        <v>1320</v>
      </c>
      <c r="E1" s="568" t="s">
        <v>1321</v>
      </c>
      <c r="F1" s="568"/>
      <c r="G1" s="568"/>
      <c r="H1" s="568"/>
    </row>
    <row r="2" spans="1:8" ht="60">
      <c r="A2" s="519" t="str">
        <f>'Deployment costs'!B11</f>
        <v>Enter the number of servers that need to be purchased for each year</v>
      </c>
      <c r="B2" s="519" t="s">
        <v>1315</v>
      </c>
      <c r="C2" s="475"/>
      <c r="D2" s="569" t="s">
        <v>1331</v>
      </c>
      <c r="E2" s="568" t="s">
        <v>1326</v>
      </c>
      <c r="F2" s="568" t="s">
        <v>1327</v>
      </c>
      <c r="G2" s="568" t="s">
        <v>1328</v>
      </c>
      <c r="H2" s="568" t="s">
        <v>1329</v>
      </c>
    </row>
    <row r="3" spans="1:8" ht="30">
      <c r="A3" s="519" t="str">
        <f>'Deployment costs'!B19</f>
        <v>Enter the number of routers that need to be purchased for each year</v>
      </c>
      <c r="B3" s="519" t="s">
        <v>1316</v>
      </c>
      <c r="C3" s="435"/>
      <c r="D3" s="567">
        <v>10</v>
      </c>
      <c r="E3" s="563">
        <v>1799400</v>
      </c>
      <c r="F3" s="564">
        <v>0.13</v>
      </c>
      <c r="G3" s="564">
        <v>0.1</v>
      </c>
      <c r="H3" s="564">
        <v>0.77</v>
      </c>
    </row>
    <row r="4" spans="1:8" ht="30">
      <c r="A4" s="519" t="str">
        <f>'Deployment costs'!B27</f>
        <v>Enter the number of desktop computers that need to be purchased for each year</v>
      </c>
      <c r="B4" s="519"/>
      <c r="C4" s="435"/>
      <c r="D4" s="567">
        <v>50</v>
      </c>
      <c r="E4" s="563">
        <v>2988200</v>
      </c>
      <c r="F4" s="564">
        <v>0.08</v>
      </c>
      <c r="G4" s="564">
        <v>0.14000000000000001</v>
      </c>
      <c r="H4" s="564">
        <v>0.78</v>
      </c>
    </row>
    <row r="5" spans="1:8" ht="45">
      <c r="A5" s="519" t="str">
        <f>'Deployment costs'!B35</f>
        <v>Enter the number of tablets or mobile phones that need to be purchased for each year</v>
      </c>
      <c r="B5" s="519"/>
      <c r="C5" s="435"/>
      <c r="D5" s="567">
        <v>100</v>
      </c>
      <c r="E5" s="563">
        <v>4474200</v>
      </c>
      <c r="F5" s="564">
        <v>0.05</v>
      </c>
      <c r="G5" s="564">
        <v>0.16</v>
      </c>
      <c r="H5" s="564">
        <v>0.79</v>
      </c>
    </row>
    <row r="6" spans="1:8" ht="30">
      <c r="A6" s="519" t="e">
        <f>'Deployment costs'!#REF!</f>
        <v>#REF!</v>
      </c>
      <c r="B6" s="519" t="s">
        <v>1317</v>
      </c>
      <c r="C6" s="435"/>
      <c r="D6" s="567">
        <v>500</v>
      </c>
      <c r="E6" s="563">
        <v>16362200</v>
      </c>
      <c r="F6" s="565">
        <v>0.02</v>
      </c>
      <c r="G6" s="564">
        <v>0.18</v>
      </c>
      <c r="H6" s="564">
        <v>0.8</v>
      </c>
    </row>
    <row r="7" spans="1:8" ht="30">
      <c r="A7" s="519" t="e">
        <f>'Deployment costs'!#REF!</f>
        <v>#REF!</v>
      </c>
      <c r="B7" s="519" t="s">
        <v>1317</v>
      </c>
      <c r="C7" s="435"/>
      <c r="D7" s="567">
        <v>1000</v>
      </c>
      <c r="E7" s="563">
        <v>31222200</v>
      </c>
      <c r="F7" s="565">
        <v>0.01</v>
      </c>
      <c r="G7" s="564">
        <v>0.19</v>
      </c>
      <c r="H7" s="564">
        <v>0.8</v>
      </c>
    </row>
    <row r="8" spans="1:8" ht="45">
      <c r="A8" s="519" t="str">
        <f>'Deployment costs'!B53</f>
        <v>Enter the number of solar chargers or generators that needs to be purchased each year</v>
      </c>
      <c r="B8" s="519" t="s">
        <v>1318</v>
      </c>
      <c r="C8" s="435"/>
      <c r="D8" s="567">
        <v>5000</v>
      </c>
      <c r="E8" s="563">
        <v>150102200</v>
      </c>
      <c r="F8" s="565" t="s">
        <v>1330</v>
      </c>
      <c r="G8" s="564">
        <v>0.19</v>
      </c>
      <c r="H8" s="564">
        <v>0.81</v>
      </c>
    </row>
    <row r="9" spans="1:8" ht="30">
      <c r="A9" s="519" t="str">
        <f>'Deployment costs'!B129</f>
        <v>Enter number of users requiring new deployment training each year</v>
      </c>
      <c r="B9" s="560"/>
      <c r="C9" s="435"/>
    </row>
    <row r="10" spans="1:8" ht="30">
      <c r="A10" s="519" t="str">
        <f>'Operations costs'!B112</f>
        <v>Enter number of new sites or users requiring data/voice per year</v>
      </c>
      <c r="B10" s="519" t="s">
        <v>1317</v>
      </c>
      <c r="C10" s="559"/>
    </row>
    <row r="11" spans="1:8">
      <c r="A11" s="519" t="e">
        <f>'Operations costs'!#REF!</f>
        <v>#REF!</v>
      </c>
      <c r="B11" s="519"/>
      <c r="C11" s="435"/>
    </row>
    <row r="12" spans="1:8">
      <c r="C12" s="435"/>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5031-D8D8-4C56-ACC0-1928955092A4}">
  <sheetPr codeName="Sheet10">
    <tabColor theme="5"/>
  </sheetPr>
  <dimension ref="A1:B3"/>
  <sheetViews>
    <sheetView workbookViewId="0">
      <selection activeCell="T29" sqref="T29"/>
    </sheetView>
  </sheetViews>
  <sheetFormatPr defaultColWidth="8.85546875" defaultRowHeight="15"/>
  <cols>
    <col min="2" max="2" width="23.85546875" bestFit="1" customWidth="1"/>
  </cols>
  <sheetData>
    <row r="1" spans="1:2">
      <c r="A1" t="s">
        <v>65</v>
      </c>
      <c r="B1" t="s">
        <v>652</v>
      </c>
    </row>
    <row r="2" spans="1:2">
      <c r="A2" t="s">
        <v>66</v>
      </c>
      <c r="B2" t="s">
        <v>653</v>
      </c>
    </row>
    <row r="3" spans="1:2">
      <c r="B3" t="s">
        <v>654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58302-BA4F-4BB5-9577-7261D5022B07}">
  <sheetPr codeName="Sheet11"/>
  <dimension ref="A1:A5"/>
  <sheetViews>
    <sheetView workbookViewId="0">
      <selection activeCell="R31" sqref="R31"/>
    </sheetView>
  </sheetViews>
  <sheetFormatPr defaultColWidth="8.85546875" defaultRowHeight="15"/>
  <sheetData>
    <row r="1" spans="1:1">
      <c r="A1" t="s">
        <v>635</v>
      </c>
    </row>
    <row r="2" spans="1:1">
      <c r="A2" t="s">
        <v>636</v>
      </c>
    </row>
    <row r="3" spans="1:1">
      <c r="A3" t="s">
        <v>637</v>
      </c>
    </row>
    <row r="4" spans="1:1">
      <c r="A4" t="s">
        <v>638</v>
      </c>
    </row>
    <row r="5" spans="1:1">
      <c r="A5" t="s">
        <v>639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14BF-F32F-4B81-9332-9DBB03A50E9A}">
  <sheetPr codeName="Sheet12"/>
  <dimension ref="B2:D10"/>
  <sheetViews>
    <sheetView workbookViewId="0">
      <selection activeCell="F14" sqref="F14"/>
    </sheetView>
  </sheetViews>
  <sheetFormatPr defaultColWidth="8.85546875" defaultRowHeight="15"/>
  <cols>
    <col min="1" max="1" width="8.5703125"/>
    <col min="2" max="2" width="27.140625" customWidth="1"/>
    <col min="3" max="3" width="27.5703125" customWidth="1"/>
    <col min="4" max="4" width="58.140625" customWidth="1"/>
  </cols>
  <sheetData>
    <row r="2" spans="2:4">
      <c r="B2" t="s">
        <v>952</v>
      </c>
      <c r="D2" t="s">
        <v>951</v>
      </c>
    </row>
    <row r="3" spans="2:4">
      <c r="B3" t="s">
        <v>65</v>
      </c>
      <c r="D3" t="s">
        <v>949</v>
      </c>
    </row>
    <row r="4" spans="2:4">
      <c r="B4" t="s">
        <v>66</v>
      </c>
      <c r="D4" t="s">
        <v>953</v>
      </c>
    </row>
    <row r="5" spans="2:4">
      <c r="D5" t="s">
        <v>950</v>
      </c>
    </row>
    <row r="8" spans="2:4">
      <c r="B8" s="493" t="s">
        <v>949</v>
      </c>
      <c r="C8" s="493" t="s">
        <v>953</v>
      </c>
      <c r="D8" s="494" t="s">
        <v>950</v>
      </c>
    </row>
    <row r="9" spans="2:4">
      <c r="B9" t="s">
        <v>65</v>
      </c>
      <c r="C9" t="s">
        <v>65</v>
      </c>
    </row>
    <row r="10" spans="2:4">
      <c r="B10" t="s">
        <v>66</v>
      </c>
      <c r="C10" t="s">
        <v>66</v>
      </c>
    </row>
  </sheetData>
  <pageMargins left="0.7" right="0.7" top="0.75" bottom="0.75" header="0.3" footer="0.3"/>
  <tableParts count="3">
    <tablePart r:id="rId1"/>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20016-8E54-498E-9360-55D70E9453E9}">
  <sheetPr codeName="Sheet13"/>
  <dimension ref="A1:B4"/>
  <sheetViews>
    <sheetView workbookViewId="0">
      <selection activeCell="B5" sqref="B5"/>
    </sheetView>
  </sheetViews>
  <sheetFormatPr defaultColWidth="8.85546875" defaultRowHeight="15"/>
  <cols>
    <col min="1" max="1" width="47.140625" bestFit="1" customWidth="1"/>
    <col min="2" max="2" width="123.85546875" bestFit="1" customWidth="1"/>
  </cols>
  <sheetData>
    <row r="1" spans="1:2">
      <c r="A1" t="s">
        <v>645</v>
      </c>
      <c r="B1" t="s">
        <v>643</v>
      </c>
    </row>
    <row r="2" spans="1:2">
      <c r="A2" t="s">
        <v>641</v>
      </c>
      <c r="B2" t="s">
        <v>644</v>
      </c>
    </row>
    <row r="3" spans="1:2">
      <c r="A3" t="s">
        <v>1412</v>
      </c>
      <c r="B3" t="s">
        <v>644</v>
      </c>
    </row>
    <row r="4" spans="1:2">
      <c r="A4" t="s">
        <v>642</v>
      </c>
      <c r="B4" t="s">
        <v>644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536A6-5B51-479C-9800-7EF17578A9A3}">
  <sheetPr codeName="Sheet15"/>
  <dimension ref="B2:E17"/>
  <sheetViews>
    <sheetView workbookViewId="0">
      <selection activeCell="E13" sqref="E13"/>
    </sheetView>
  </sheetViews>
  <sheetFormatPr defaultColWidth="8.5703125" defaultRowHeight="15"/>
  <cols>
    <col min="1" max="1" width="3.42578125" style="315" customWidth="1"/>
    <col min="2" max="2" width="77.5703125" style="315" customWidth="1"/>
    <col min="3" max="3" width="54.85546875" style="315" customWidth="1"/>
    <col min="4" max="4" width="8.5703125" style="315"/>
    <col min="5" max="5" width="89.140625" style="315" customWidth="1"/>
    <col min="6" max="16384" width="8.5703125" style="315"/>
  </cols>
  <sheetData>
    <row r="2" spans="2:5">
      <c r="B2" s="427" t="s">
        <v>503</v>
      </c>
      <c r="C2" s="426"/>
    </row>
    <row r="3" spans="2:5">
      <c r="B3" s="430" t="s">
        <v>504</v>
      </c>
      <c r="C3" s="426"/>
      <c r="E3" s="1039" t="s">
        <v>640</v>
      </c>
    </row>
    <row r="4" spans="2:5" ht="30">
      <c r="B4" s="430" t="s">
        <v>509</v>
      </c>
      <c r="C4" s="426" t="s">
        <v>511</v>
      </c>
      <c r="E4" s="1039"/>
    </row>
    <row r="5" spans="2:5" ht="30">
      <c r="B5" s="430" t="s">
        <v>510</v>
      </c>
      <c r="C5" s="426" t="s">
        <v>511</v>
      </c>
    </row>
    <row r="7" spans="2:5">
      <c r="B7" s="319" t="s">
        <v>521</v>
      </c>
      <c r="C7" s="320"/>
    </row>
    <row r="8" spans="2:5" ht="45">
      <c r="B8" s="437" t="s">
        <v>505</v>
      </c>
      <c r="C8" s="436" t="s">
        <v>506</v>
      </c>
    </row>
    <row r="9" spans="2:5" ht="45">
      <c r="B9" s="437" t="s">
        <v>507</v>
      </c>
      <c r="C9" s="436" t="s">
        <v>508</v>
      </c>
    </row>
    <row r="10" spans="2:5">
      <c r="B10" s="437" t="s">
        <v>513</v>
      </c>
      <c r="C10" s="436" t="s">
        <v>512</v>
      </c>
    </row>
    <row r="11" spans="2:5" ht="30">
      <c r="B11" s="437" t="s">
        <v>516</v>
      </c>
      <c r="C11" s="436" t="s">
        <v>512</v>
      </c>
    </row>
    <row r="12" spans="2:5" ht="30">
      <c r="B12" s="437" t="s">
        <v>515</v>
      </c>
      <c r="C12" s="436" t="s">
        <v>512</v>
      </c>
    </row>
    <row r="13" spans="2:5">
      <c r="B13" s="437" t="s">
        <v>514</v>
      </c>
      <c r="C13" s="436" t="s">
        <v>512</v>
      </c>
    </row>
    <row r="14" spans="2:5">
      <c r="B14" s="437" t="s">
        <v>517</v>
      </c>
      <c r="C14" s="436" t="s">
        <v>512</v>
      </c>
    </row>
    <row r="15" spans="2:5" ht="30">
      <c r="B15" s="437" t="s">
        <v>518</v>
      </c>
      <c r="C15" s="436" t="s">
        <v>519</v>
      </c>
    </row>
    <row r="16" spans="2:5" ht="30">
      <c r="B16" s="437" t="s">
        <v>520</v>
      </c>
      <c r="C16" s="436" t="s">
        <v>519</v>
      </c>
    </row>
    <row r="17" spans="2:2">
      <c r="B17" s="435"/>
    </row>
  </sheetData>
  <mergeCells count="1">
    <mergeCell ref="E3:E4"/>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ADF8D-7FFE-9E4A-9E93-45A057A2EF43}">
  <sheetPr codeName="Sheet21">
    <tabColor rgb="FFFF0000"/>
  </sheetPr>
  <dimension ref="A1:E81"/>
  <sheetViews>
    <sheetView showGridLines="0" workbookViewId="0">
      <pane ySplit="5" topLeftCell="A12" activePane="bottomLeft" state="frozen"/>
      <selection pane="bottomLeft" activeCell="D17" sqref="D17"/>
    </sheetView>
  </sheetViews>
  <sheetFormatPr defaultColWidth="10.85546875" defaultRowHeight="15"/>
  <cols>
    <col min="1" max="1" width="68.42578125" customWidth="1"/>
    <col min="2" max="3" width="20" customWidth="1"/>
    <col min="4" max="4" width="80" customWidth="1"/>
    <col min="5" max="5" width="42.5703125" customWidth="1"/>
  </cols>
  <sheetData>
    <row r="1" spans="1:5" ht="23.25">
      <c r="A1" s="481" t="s">
        <v>658</v>
      </c>
      <c r="B1" s="499"/>
      <c r="C1" s="315"/>
      <c r="D1" s="315"/>
      <c r="E1" s="315"/>
    </row>
    <row r="2" spans="1:5" ht="15" customHeight="1">
      <c r="A2" s="481"/>
      <c r="B2" s="499"/>
      <c r="C2" s="315"/>
      <c r="D2" s="315"/>
      <c r="E2" s="315"/>
    </row>
    <row r="3" spans="1:5" ht="15" customHeight="1">
      <c r="A3" s="481"/>
      <c r="B3" s="499"/>
      <c r="C3" s="315"/>
      <c r="D3" s="315"/>
      <c r="E3" s="315"/>
    </row>
    <row r="4" spans="1:5" ht="15" customHeight="1">
      <c r="A4" s="481"/>
      <c r="B4" s="499"/>
      <c r="C4" s="315"/>
      <c r="D4" s="315"/>
      <c r="E4" s="315"/>
    </row>
    <row r="5" spans="1:5">
      <c r="B5" s="617" t="s">
        <v>993</v>
      </c>
      <c r="C5" s="609" t="s">
        <v>994</v>
      </c>
      <c r="D5" s="609" t="s">
        <v>995</v>
      </c>
      <c r="E5" s="608" t="s">
        <v>958</v>
      </c>
    </row>
    <row r="6" spans="1:5" s="315" customFormat="1" ht="76.5">
      <c r="A6" s="607" t="s">
        <v>656</v>
      </c>
      <c r="B6" s="500"/>
      <c r="C6" s="603"/>
      <c r="D6" s="632" t="s">
        <v>914</v>
      </c>
      <c r="E6" s="491"/>
    </row>
    <row r="7" spans="1:5" s="315" customFormat="1"/>
    <row r="8" spans="1:5" ht="30">
      <c r="A8" s="637" t="s">
        <v>19</v>
      </c>
      <c r="B8" s="644"/>
      <c r="C8" s="627"/>
      <c r="D8" s="639" t="s">
        <v>679</v>
      </c>
      <c r="E8" s="640"/>
    </row>
    <row r="9" spans="1:5" s="315" customFormat="1" ht="30">
      <c r="A9" s="647" t="s">
        <v>884</v>
      </c>
      <c r="B9" s="645" t="e">
        <f>'Scope of implementation'!#REF!</f>
        <v>#REF!</v>
      </c>
      <c r="C9" s="641">
        <v>0.2</v>
      </c>
      <c r="D9" s="472" t="s">
        <v>883</v>
      </c>
      <c r="E9" s="478" t="s">
        <v>957</v>
      </c>
    </row>
    <row r="10" spans="1:5" s="315" customFormat="1" ht="30">
      <c r="A10" s="648" t="s">
        <v>1217</v>
      </c>
      <c r="B10" s="646" t="e">
        <f>B9*'Deployment costs'!#REF!</f>
        <v>#REF!</v>
      </c>
      <c r="C10" s="642"/>
      <c r="D10" s="472" t="s">
        <v>917</v>
      </c>
      <c r="E10" s="478" t="s">
        <v>961</v>
      </c>
    </row>
    <row r="11" spans="1:5" s="315" customFormat="1" ht="30">
      <c r="A11" s="648" t="s">
        <v>1218</v>
      </c>
      <c r="B11" s="646" t="e">
        <f>B9*'Deployment costs'!#REF!</f>
        <v>#REF!</v>
      </c>
      <c r="C11" s="642"/>
      <c r="D11" s="472" t="s">
        <v>917</v>
      </c>
      <c r="E11" s="483"/>
    </row>
    <row r="12" spans="1:5" s="315" customFormat="1" ht="30">
      <c r="A12" s="648" t="s">
        <v>1219</v>
      </c>
      <c r="B12" s="646" t="e">
        <f>B9*'Deployment costs'!#REF!</f>
        <v>#REF!</v>
      </c>
      <c r="C12" s="642"/>
      <c r="D12" s="472" t="s">
        <v>917</v>
      </c>
      <c r="E12" s="483"/>
    </row>
    <row r="13" spans="1:5" s="315" customFormat="1" ht="30">
      <c r="A13" s="648" t="s">
        <v>1220</v>
      </c>
      <c r="B13" s="646" t="e">
        <f>B9*'Deployment costs'!#REF!</f>
        <v>#REF!</v>
      </c>
      <c r="C13" s="642"/>
      <c r="D13" s="472" t="s">
        <v>917</v>
      </c>
      <c r="E13" s="483"/>
    </row>
    <row r="14" spans="1:5" s="315" customFormat="1" ht="30">
      <c r="A14" s="648" t="s">
        <v>1221</v>
      </c>
      <c r="B14" s="646" t="e">
        <f>B9*'Deployment costs'!C42</f>
        <v>#REF!</v>
      </c>
      <c r="C14" s="642"/>
      <c r="D14" s="472" t="s">
        <v>917</v>
      </c>
      <c r="E14" s="483"/>
    </row>
    <row r="15" spans="1:5" s="315" customFormat="1">
      <c r="B15" s="501"/>
      <c r="C15" s="479"/>
      <c r="D15" s="479"/>
    </row>
    <row r="16" spans="1:5" ht="45">
      <c r="A16" s="637" t="s">
        <v>680</v>
      </c>
      <c r="B16" s="637"/>
      <c r="C16" s="631"/>
      <c r="D16" s="639" t="s">
        <v>681</v>
      </c>
      <c r="E16" s="640"/>
    </row>
    <row r="17" spans="1:5" s="315" customFormat="1" ht="30">
      <c r="A17" s="647" t="s">
        <v>885</v>
      </c>
      <c r="B17" s="527" t="e">
        <f>'Scope of implementation'!#REF!</f>
        <v>#REF!</v>
      </c>
      <c r="C17" s="641">
        <v>0.2</v>
      </c>
      <c r="D17" s="472" t="s">
        <v>886</v>
      </c>
      <c r="E17" s="478" t="s">
        <v>957</v>
      </c>
    </row>
    <row r="18" spans="1:5" s="315" customFormat="1" ht="30">
      <c r="A18" s="648" t="s">
        <v>1292</v>
      </c>
      <c r="B18" s="614" t="e">
        <f>B17*'Deployment costs'!#REF!</f>
        <v>#REF!</v>
      </c>
      <c r="C18" s="642"/>
      <c r="D18" s="472" t="s">
        <v>916</v>
      </c>
      <c r="E18" s="478" t="s">
        <v>961</v>
      </c>
    </row>
    <row r="19" spans="1:5" s="315" customFormat="1" ht="30">
      <c r="A19" s="648" t="s">
        <v>1293</v>
      </c>
      <c r="B19" s="614" t="e">
        <f>B17*'Deployment costs'!C60</f>
        <v>#REF!</v>
      </c>
      <c r="C19" s="642"/>
      <c r="D19" s="472" t="s">
        <v>915</v>
      </c>
      <c r="E19" s="483"/>
    </row>
    <row r="20" spans="1:5" s="315" customFormat="1">
      <c r="B20" s="686"/>
    </row>
    <row r="21" spans="1:5">
      <c r="A21" s="637" t="s">
        <v>23</v>
      </c>
      <c r="B21" s="638"/>
      <c r="C21" s="631"/>
      <c r="D21" s="649" t="s">
        <v>682</v>
      </c>
      <c r="E21" s="640"/>
    </row>
    <row r="22" spans="1:5" s="315" customFormat="1" ht="60">
      <c r="A22" s="650" t="s">
        <v>926</v>
      </c>
      <c r="B22" s="606">
        <v>1600</v>
      </c>
      <c r="C22" s="642"/>
      <c r="D22" s="634" t="s">
        <v>918</v>
      </c>
      <c r="E22" s="558" t="s">
        <v>1313</v>
      </c>
    </row>
    <row r="23" spans="1:5" s="315" customFormat="1">
      <c r="B23" s="686"/>
      <c r="C23"/>
    </row>
    <row r="24" spans="1:5">
      <c r="A24" s="637" t="s">
        <v>25</v>
      </c>
      <c r="B24" s="638"/>
      <c r="C24" s="631"/>
      <c r="D24" s="649" t="s">
        <v>919</v>
      </c>
      <c r="E24" s="640"/>
    </row>
    <row r="25" spans="1:5" s="315" customFormat="1" ht="75">
      <c r="A25" s="485" t="s">
        <v>872</v>
      </c>
      <c r="B25" s="688">
        <v>30</v>
      </c>
      <c r="C25" s="641" t="s">
        <v>1170</v>
      </c>
      <c r="D25" s="634" t="s">
        <v>888</v>
      </c>
      <c r="E25" s="558" t="s">
        <v>1311</v>
      </c>
    </row>
    <row r="26" spans="1:5" s="315" customFormat="1" ht="30">
      <c r="A26" s="643" t="s">
        <v>1294</v>
      </c>
      <c r="B26" s="682">
        <v>1000</v>
      </c>
      <c r="C26" s="642"/>
      <c r="D26" s="472" t="s">
        <v>875</v>
      </c>
      <c r="E26" s="478" t="s">
        <v>961</v>
      </c>
    </row>
    <row r="27" spans="1:5" s="315" customFormat="1">
      <c r="B27" s="686"/>
    </row>
    <row r="28" spans="1:5" ht="45">
      <c r="A28" s="637" t="s">
        <v>27</v>
      </c>
      <c r="B28" s="638"/>
      <c r="C28" s="627"/>
      <c r="D28" s="639" t="s">
        <v>920</v>
      </c>
      <c r="E28" s="640"/>
    </row>
    <row r="29" spans="1:5" s="315" customFormat="1" ht="60">
      <c r="A29" s="648" t="s">
        <v>921</v>
      </c>
      <c r="B29" s="651" t="s">
        <v>654</v>
      </c>
      <c r="C29" s="642"/>
      <c r="D29" s="472" t="s">
        <v>922</v>
      </c>
      <c r="E29" s="478" t="s">
        <v>957</v>
      </c>
    </row>
    <row r="30" spans="1:5" s="315" customFormat="1" ht="90">
      <c r="A30" s="655" t="s">
        <v>890</v>
      </c>
      <c r="B30" s="652">
        <v>5000</v>
      </c>
      <c r="C30" s="653" t="s">
        <v>1164</v>
      </c>
      <c r="D30" s="472" t="s">
        <v>668</v>
      </c>
      <c r="E30" s="478" t="s">
        <v>957</v>
      </c>
    </row>
    <row r="31" spans="1:5" s="315" customFormat="1">
      <c r="A31" s="648" t="s">
        <v>1122</v>
      </c>
      <c r="B31" s="683">
        <v>1000</v>
      </c>
      <c r="C31" s="654">
        <f>'Scope of implementation'!C17</f>
        <v>0</v>
      </c>
      <c r="D31" s="472" t="s">
        <v>1324</v>
      </c>
      <c r="E31" s="478"/>
    </row>
    <row r="32" spans="1:5" s="315" customFormat="1">
      <c r="B32" s="686"/>
    </row>
    <row r="33" spans="1:5" ht="135">
      <c r="A33" s="637" t="s">
        <v>29</v>
      </c>
      <c r="B33" s="638"/>
      <c r="C33" s="631"/>
      <c r="D33" s="639" t="s">
        <v>946</v>
      </c>
      <c r="E33" s="640"/>
    </row>
    <row r="34" spans="1:5" s="315" customFormat="1" ht="60">
      <c r="A34" s="648" t="s">
        <v>1269</v>
      </c>
      <c r="B34" s="606">
        <v>8000</v>
      </c>
      <c r="C34" s="642"/>
      <c r="D34" s="472" t="s">
        <v>1356</v>
      </c>
      <c r="E34" s="478" t="s">
        <v>957</v>
      </c>
    </row>
    <row r="35" spans="1:5" s="315" customFormat="1" ht="45">
      <c r="A35" s="655" t="s">
        <v>1249</v>
      </c>
      <c r="B35" s="606">
        <v>15000</v>
      </c>
      <c r="C35" s="657" t="s">
        <v>1208</v>
      </c>
      <c r="D35" s="472" t="s">
        <v>923</v>
      </c>
      <c r="E35" s="478" t="s">
        <v>957</v>
      </c>
    </row>
    <row r="36" spans="1:5" s="315" customFormat="1" ht="45">
      <c r="A36" s="656" t="s">
        <v>1248</v>
      </c>
      <c r="B36" s="606">
        <v>10</v>
      </c>
      <c r="C36" s="642"/>
      <c r="D36" s="472" t="s">
        <v>1247</v>
      </c>
      <c r="E36" s="483"/>
    </row>
    <row r="37" spans="1:5" s="315" customFormat="1">
      <c r="A37" s="508" t="s">
        <v>1246</v>
      </c>
      <c r="B37" s="659">
        <f>B35*B36</f>
        <v>150000</v>
      </c>
      <c r="C37" s="627"/>
      <c r="D37" s="472" t="s">
        <v>910</v>
      </c>
    </row>
    <row r="38" spans="1:5" s="315" customFormat="1">
      <c r="A38" s="508"/>
      <c r="B38" s="679"/>
      <c r="C38" s="627"/>
      <c r="D38" s="472"/>
    </row>
    <row r="39" spans="1:5" s="315" customFormat="1" ht="75">
      <c r="A39" s="647" t="s">
        <v>1270</v>
      </c>
      <c r="B39" s="606">
        <v>1000</v>
      </c>
      <c r="C39" s="641" t="s">
        <v>1170</v>
      </c>
      <c r="D39" s="472" t="s">
        <v>888</v>
      </c>
      <c r="E39" s="558" t="s">
        <v>1311</v>
      </c>
    </row>
    <row r="40" spans="1:5" s="315" customFormat="1" ht="60">
      <c r="A40" s="648" t="s">
        <v>1271</v>
      </c>
      <c r="B40" s="606">
        <v>500</v>
      </c>
      <c r="C40" s="642"/>
      <c r="D40" s="472" t="s">
        <v>1126</v>
      </c>
      <c r="E40" s="483"/>
    </row>
    <row r="41" spans="1:5" s="315" customFormat="1" ht="60">
      <c r="A41" s="647" t="s">
        <v>1125</v>
      </c>
      <c r="B41" s="527" t="e">
        <f>'Scope of implementation'!#REF!</f>
        <v>#REF!</v>
      </c>
      <c r="C41" s="641">
        <v>0.2</v>
      </c>
      <c r="D41" s="472" t="s">
        <v>1124</v>
      </c>
      <c r="E41" s="483"/>
    </row>
    <row r="42" spans="1:5" s="315" customFormat="1" ht="45">
      <c r="A42" s="648" t="s">
        <v>1272</v>
      </c>
      <c r="B42" s="606">
        <v>1000</v>
      </c>
      <c r="C42" s="642"/>
      <c r="D42" s="472" t="s">
        <v>920</v>
      </c>
      <c r="E42" s="483"/>
    </row>
    <row r="43" spans="1:5" s="315" customFormat="1" ht="30">
      <c r="A43" s="648" t="s">
        <v>1123</v>
      </c>
      <c r="B43" s="606">
        <v>0</v>
      </c>
      <c r="C43" s="642"/>
      <c r="D43" s="472"/>
    </row>
    <row r="44" spans="1:5" s="315" customFormat="1">
      <c r="B44" s="686"/>
    </row>
    <row r="45" spans="1:5" ht="30">
      <c r="A45" s="637" t="s">
        <v>31</v>
      </c>
      <c r="B45" s="638"/>
      <c r="C45" s="631"/>
      <c r="D45" s="639" t="s">
        <v>924</v>
      </c>
      <c r="E45" s="640"/>
    </row>
    <row r="46" spans="1:5" s="315" customFormat="1" ht="90">
      <c r="A46" s="648" t="s">
        <v>1273</v>
      </c>
      <c r="B46" s="606">
        <v>10000</v>
      </c>
      <c r="C46" s="657" t="s">
        <v>1208</v>
      </c>
      <c r="D46" s="472" t="s">
        <v>938</v>
      </c>
      <c r="E46" s="478" t="s">
        <v>957</v>
      </c>
    </row>
    <row r="47" spans="1:5" s="315" customFormat="1" ht="45">
      <c r="A47" s="647" t="s">
        <v>1260</v>
      </c>
      <c r="B47" s="606">
        <v>0.25</v>
      </c>
      <c r="C47" s="660">
        <v>0.25</v>
      </c>
      <c r="D47" s="472" t="s">
        <v>1261</v>
      </c>
      <c r="E47" s="478" t="s">
        <v>959</v>
      </c>
    </row>
    <row r="48" spans="1:5" s="315" customFormat="1">
      <c r="A48" s="508" t="s">
        <v>1259</v>
      </c>
      <c r="B48" s="615">
        <f>B46*B47</f>
        <v>2500</v>
      </c>
      <c r="C48" s="627"/>
      <c r="D48" s="472" t="s">
        <v>910</v>
      </c>
    </row>
    <row r="49" spans="1:5" s="315" customFormat="1">
      <c r="B49" s="686"/>
    </row>
    <row r="50" spans="1:5" ht="45">
      <c r="A50" s="637" t="s">
        <v>33</v>
      </c>
      <c r="B50" s="638"/>
      <c r="C50" s="631"/>
      <c r="D50" s="639" t="s">
        <v>925</v>
      </c>
      <c r="E50" s="640"/>
    </row>
    <row r="51" spans="1:5" s="315" customFormat="1" ht="60">
      <c r="A51" s="648" t="s">
        <v>1274</v>
      </c>
      <c r="B51" s="606">
        <v>20000</v>
      </c>
      <c r="C51" s="661" t="s">
        <v>1208</v>
      </c>
      <c r="D51" s="472" t="s">
        <v>939</v>
      </c>
      <c r="E51" s="478" t="s">
        <v>957</v>
      </c>
    </row>
    <row r="52" spans="1:5" s="315" customFormat="1" ht="45">
      <c r="A52" s="647" t="s">
        <v>1262</v>
      </c>
      <c r="B52" s="616">
        <v>1</v>
      </c>
      <c r="C52" s="642"/>
      <c r="D52" s="472" t="s">
        <v>1264</v>
      </c>
      <c r="E52" s="478"/>
    </row>
    <row r="53" spans="1:5" s="315" customFormat="1">
      <c r="A53" s="508" t="s">
        <v>1263</v>
      </c>
      <c r="B53" s="615">
        <f>B51*B52</f>
        <v>20000</v>
      </c>
      <c r="C53" s="627"/>
      <c r="D53" s="472" t="s">
        <v>910</v>
      </c>
    </row>
    <row r="54" spans="1:5" s="315" customFormat="1">
      <c r="B54" s="686"/>
    </row>
    <row r="55" spans="1:5" ht="30">
      <c r="A55" s="637" t="s">
        <v>35</v>
      </c>
      <c r="B55" s="638"/>
      <c r="C55" s="631"/>
      <c r="D55" s="649" t="s">
        <v>948</v>
      </c>
      <c r="E55" s="640"/>
    </row>
    <row r="56" spans="1:5" s="315" customFormat="1" ht="60">
      <c r="A56" s="507" t="s">
        <v>891</v>
      </c>
      <c r="B56" s="606">
        <v>0</v>
      </c>
      <c r="C56" s="642"/>
      <c r="D56" s="634" t="s">
        <v>683</v>
      </c>
      <c r="E56" s="558" t="s">
        <v>1311</v>
      </c>
    </row>
    <row r="57" spans="1:5" s="315" customFormat="1">
      <c r="B57" s="686"/>
    </row>
    <row r="58" spans="1:5">
      <c r="A58" s="637" t="s">
        <v>0</v>
      </c>
      <c r="B58" s="638"/>
      <c r="C58" s="631"/>
      <c r="D58" s="639" t="s">
        <v>685</v>
      </c>
      <c r="E58" s="640"/>
    </row>
    <row r="59" spans="1:5" s="315" customFormat="1" ht="30">
      <c r="A59" s="648" t="s">
        <v>1275</v>
      </c>
      <c r="B59" s="606">
        <v>15000</v>
      </c>
      <c r="C59" s="657" t="s">
        <v>1208</v>
      </c>
      <c r="D59" s="472" t="s">
        <v>684</v>
      </c>
      <c r="E59" s="478" t="s">
        <v>957</v>
      </c>
    </row>
    <row r="60" spans="1:5" s="315" customFormat="1" ht="45">
      <c r="A60" s="647" t="s">
        <v>1276</v>
      </c>
      <c r="B60" s="616">
        <v>2.5</v>
      </c>
      <c r="C60" s="642"/>
      <c r="D60" s="472" t="s">
        <v>1264</v>
      </c>
      <c r="E60" s="478"/>
    </row>
    <row r="61" spans="1:5" s="315" customFormat="1">
      <c r="A61" s="508" t="s">
        <v>1265</v>
      </c>
      <c r="B61" s="615">
        <f>B59*B60</f>
        <v>37500</v>
      </c>
      <c r="C61" s="627"/>
      <c r="D61" s="472" t="s">
        <v>910</v>
      </c>
    </row>
    <row r="62" spans="1:5" s="315" customFormat="1">
      <c r="B62" s="686"/>
    </row>
    <row r="63" spans="1:5" ht="30">
      <c r="A63" s="637" t="s">
        <v>38</v>
      </c>
      <c r="B63" s="638"/>
      <c r="C63" s="631"/>
      <c r="D63" s="649" t="s">
        <v>686</v>
      </c>
      <c r="E63" s="640"/>
    </row>
    <row r="64" spans="1:5" s="315" customFormat="1" ht="60">
      <c r="A64" s="650" t="s">
        <v>927</v>
      </c>
      <c r="B64" s="606">
        <v>20000</v>
      </c>
      <c r="C64" s="642"/>
      <c r="D64" s="634" t="s">
        <v>687</v>
      </c>
      <c r="E64" s="558" t="s">
        <v>1311</v>
      </c>
    </row>
    <row r="65" spans="1:5" s="315" customFormat="1">
      <c r="B65" s="686"/>
    </row>
    <row r="66" spans="1:5" ht="45">
      <c r="A66" s="637" t="s">
        <v>40</v>
      </c>
      <c r="B66" s="638"/>
      <c r="C66" s="631"/>
      <c r="D66" s="649" t="s">
        <v>928</v>
      </c>
      <c r="E66" s="640"/>
    </row>
    <row r="67" spans="1:5" s="315" customFormat="1" ht="30">
      <c r="A67" s="648" t="s">
        <v>1279</v>
      </c>
      <c r="B67" s="606">
        <v>20000</v>
      </c>
      <c r="C67" s="657" t="s">
        <v>1208</v>
      </c>
      <c r="D67" s="634" t="s">
        <v>929</v>
      </c>
      <c r="E67" s="478" t="s">
        <v>957</v>
      </c>
    </row>
    <row r="68" spans="1:5" s="315" customFormat="1" ht="45">
      <c r="A68" s="647" t="s">
        <v>1278</v>
      </c>
      <c r="B68" s="616">
        <v>0.5</v>
      </c>
      <c r="C68" s="662">
        <v>0.5</v>
      </c>
      <c r="D68" s="472" t="s">
        <v>1280</v>
      </c>
      <c r="E68" s="478" t="s">
        <v>959</v>
      </c>
    </row>
    <row r="69" spans="1:5" s="315" customFormat="1">
      <c r="A69" s="508" t="s">
        <v>1277</v>
      </c>
      <c r="B69" s="615">
        <f>B67*B68</f>
        <v>10000</v>
      </c>
      <c r="C69" s="495"/>
      <c r="D69" s="472" t="s">
        <v>910</v>
      </c>
    </row>
    <row r="70" spans="1:5" s="315" customFormat="1">
      <c r="B70" s="686"/>
    </row>
    <row r="71" spans="1:5">
      <c r="A71" s="637" t="s">
        <v>688</v>
      </c>
      <c r="B71" s="638"/>
      <c r="C71" s="631"/>
      <c r="D71" s="639" t="s">
        <v>689</v>
      </c>
      <c r="E71" s="640"/>
    </row>
    <row r="72" spans="1:5" s="315" customFormat="1" ht="60">
      <c r="A72" s="648" t="s">
        <v>1284</v>
      </c>
      <c r="B72" s="606">
        <v>20000</v>
      </c>
      <c r="C72" s="657" t="s">
        <v>1208</v>
      </c>
      <c r="D72" s="472" t="s">
        <v>930</v>
      </c>
      <c r="E72" s="478" t="s">
        <v>957</v>
      </c>
    </row>
    <row r="73" spans="1:5" s="315" customFormat="1" ht="60">
      <c r="A73" s="647" t="s">
        <v>1282</v>
      </c>
      <c r="B73" s="616">
        <v>0.5</v>
      </c>
      <c r="C73" s="642"/>
      <c r="D73" s="472" t="s">
        <v>1283</v>
      </c>
      <c r="E73" s="483"/>
    </row>
    <row r="74" spans="1:5" s="315" customFormat="1">
      <c r="A74" s="508" t="s">
        <v>1281</v>
      </c>
      <c r="B74" s="615">
        <f>B72*B73</f>
        <v>10000</v>
      </c>
      <c r="C74" s="495"/>
      <c r="D74" s="472" t="s">
        <v>910</v>
      </c>
    </row>
    <row r="75" spans="1:5" s="315" customFormat="1">
      <c r="B75" s="686"/>
    </row>
    <row r="76" spans="1:5" ht="30">
      <c r="A76" s="637" t="s">
        <v>44</v>
      </c>
      <c r="B76" s="638"/>
      <c r="C76" s="631"/>
      <c r="D76" s="649" t="s">
        <v>690</v>
      </c>
      <c r="E76" s="640"/>
    </row>
    <row r="77" spans="1:5" s="315" customFormat="1" ht="30">
      <c r="A77" s="648" t="s">
        <v>1286</v>
      </c>
      <c r="B77" s="606">
        <v>10000</v>
      </c>
      <c r="C77" s="661" t="s">
        <v>1208</v>
      </c>
      <c r="D77" s="634" t="s">
        <v>931</v>
      </c>
      <c r="E77" s="478" t="s">
        <v>957</v>
      </c>
    </row>
    <row r="78" spans="1:5" s="315" customFormat="1" ht="45">
      <c r="A78" s="647" t="s">
        <v>1287</v>
      </c>
      <c r="B78" s="616">
        <v>0.5</v>
      </c>
      <c r="C78" s="660">
        <v>0.25</v>
      </c>
      <c r="D78" s="472" t="s">
        <v>1288</v>
      </c>
      <c r="E78" s="478" t="s">
        <v>959</v>
      </c>
    </row>
    <row r="79" spans="1:5" s="315" customFormat="1">
      <c r="A79" s="508" t="s">
        <v>1285</v>
      </c>
      <c r="B79" s="615">
        <f>B77*B78</f>
        <v>5000</v>
      </c>
      <c r="C79" s="495"/>
      <c r="D79" s="472" t="s">
        <v>910</v>
      </c>
    </row>
    <row r="80" spans="1:5" s="315" customFormat="1">
      <c r="B80" s="499"/>
    </row>
    <row r="81" spans="2:2" s="315" customFormat="1">
      <c r="B81" s="499"/>
    </row>
  </sheetData>
  <conditionalFormatting sqref="B26 B31">
    <cfRule type="expression" dxfId="55" priority="1">
      <formula>$A$25="enter the number of sites where the DHI will be deployed"</formula>
    </cfRule>
  </conditionalFormatting>
  <dataValidations count="3">
    <dataValidation type="whole" allowBlank="1" showInputMessage="1" showErrorMessage="1" error="Entry must be a whole number. " sqref="B10:B14 B18:B19" xr:uid="{ADE40209-77A7-504A-B49C-DB816A655AD6}">
      <formula1>0</formula1>
      <formula2>10000000</formula2>
    </dataValidation>
    <dataValidation allowBlank="1" sqref="B52 B60 B68 B78 B73" xr:uid="{D1FA51FC-CC61-1E49-A74F-6AF5CF01EDF8}"/>
    <dataValidation type="list" allowBlank="1" showInputMessage="1" showErrorMessage="1" sqref="B29" xr:uid="{70311D69-7235-8D44-A5A1-7F4BFC8FF2D8}">
      <formula1>#REF!</formula1>
    </dataValidation>
  </dataValidations>
  <hyperlinks>
    <hyperlink ref="E9" r:id="rId1" xr:uid="{816CCB5E-FA58-354D-949D-DE9785D558B5}"/>
    <hyperlink ref="E10" r:id="rId2" xr:uid="{CDFEC24A-CA56-974A-A94E-465890755502}"/>
    <hyperlink ref="E17" r:id="rId3" xr:uid="{8D2F7FAE-0F00-CB4F-8479-262FE723E476}"/>
    <hyperlink ref="E18" r:id="rId4" xr:uid="{1E2C1787-0A95-4B48-ACF2-CAC29C311589}"/>
    <hyperlink ref="E26" r:id="rId5" xr:uid="{56DE2A4A-4DD8-F54B-B81F-99D08A5FC1DB}"/>
    <hyperlink ref="E29" r:id="rId6" xr:uid="{B76491CC-103D-9A4C-AE83-8E12F9A1D6F0}"/>
    <hyperlink ref="E30" r:id="rId7" xr:uid="{CACFB029-BD7D-834D-B5F6-70A05D8C5AE6}"/>
    <hyperlink ref="E35" r:id="rId8" xr:uid="{B860D19A-9102-0642-9BFC-B08A14E3A0A1}"/>
    <hyperlink ref="E46" r:id="rId9" xr:uid="{62C7BA50-A8B2-E14E-AB4D-6D298256ABD8}"/>
    <hyperlink ref="E47" r:id="rId10" xr:uid="{A27689F5-6F05-F54E-96D3-E55B79454A3A}"/>
    <hyperlink ref="E51" r:id="rId11" xr:uid="{F2513522-802F-7C45-8AB9-37517BE3B92F}"/>
    <hyperlink ref="E59" r:id="rId12" xr:uid="{494CA092-9556-DE47-A5D5-FFA50FEF4DA0}"/>
    <hyperlink ref="E67" r:id="rId13" xr:uid="{935FAECD-AC10-874E-8150-89666C79EE41}"/>
    <hyperlink ref="E68" r:id="rId14" xr:uid="{A640D072-7B8F-0248-9782-9BB85328D6C0}"/>
    <hyperlink ref="E72" r:id="rId15" xr:uid="{16569FE9-6A36-0740-9C6E-E524A2A0D360}"/>
    <hyperlink ref="E77" r:id="rId16" xr:uid="{7AC6E717-15F0-7E40-B1DA-0EE8F13233AD}"/>
    <hyperlink ref="E78" r:id="rId17" xr:uid="{F6B5FA4E-FBA1-5542-9B63-C4A28BE63AA0}"/>
    <hyperlink ref="E34" r:id="rId18" xr:uid="{50D64517-2BDF-A748-B5BF-35BFF88D9A1F}"/>
    <hyperlink ref="C35" location="'Salary input data '!A4" display="See Salary input data tab " xr:uid="{DD6D5F03-D51A-4045-A725-ADD6A7185BAE}"/>
    <hyperlink ref="C46" location="'Salary input data '!A4" display="See Salary input data tab " xr:uid="{2FD3BE55-6614-6046-B107-7516A5DAA912}"/>
    <hyperlink ref="C51" location="'Salary input data '!A4" display="See Salary input data tab " xr:uid="{B073FBC1-E3F6-8145-ADED-146FF6357550}"/>
    <hyperlink ref="C59" location="'Salary input data '!A4" display="See Salary input data tab " xr:uid="{55E8EB64-0C98-904B-9EC1-0145999554FE}"/>
    <hyperlink ref="C67" location="'Salary input data '!A4" display="See Salary input data tab " xr:uid="{6DD5C6E1-B6C5-FD4B-A7AC-C2358EFBAB9D}"/>
    <hyperlink ref="C72" location="'Salary input data '!A4" display="See Salary input data tab " xr:uid="{5F4B071B-4E6D-F546-98CC-989AA46400FC}"/>
    <hyperlink ref="C77" location="'Salary input data '!A4" display="See Salary input data tab " xr:uid="{36C414BA-06D9-1D48-A59E-924426ACD6CE}"/>
  </hyperlinks>
  <pageMargins left="0.7" right="0.7" top="0.75" bottom="0.75" header="0.3" footer="0.3"/>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603A-A7D0-498E-97B4-C162B3A9C207}">
  <sheetPr codeName="Sheet2">
    <tabColor theme="5" tint="-0.249977111117893"/>
  </sheetPr>
  <dimension ref="B1:B61"/>
  <sheetViews>
    <sheetView showGridLines="0" zoomScale="90" zoomScaleNormal="90" workbookViewId="0">
      <selection activeCell="B28" sqref="B28"/>
    </sheetView>
  </sheetViews>
  <sheetFormatPr defaultColWidth="8.5703125" defaultRowHeight="27.95" customHeight="1"/>
  <cols>
    <col min="1" max="1" width="2.140625" style="689" customWidth="1"/>
    <col min="2" max="2" width="217.5703125" style="689" customWidth="1"/>
    <col min="3" max="16384" width="8.5703125" style="689"/>
  </cols>
  <sheetData>
    <row r="1" spans="2:2" ht="15" customHeight="1">
      <c r="B1" s="752" t="s">
        <v>1621</v>
      </c>
    </row>
    <row r="2" spans="2:2" ht="21">
      <c r="B2" s="696" t="s">
        <v>669</v>
      </c>
    </row>
    <row r="3" spans="2:2" ht="60">
      <c r="B3" s="689" t="s">
        <v>1632</v>
      </c>
    </row>
    <row r="4" spans="2:2" ht="15" customHeight="1"/>
    <row r="5" spans="2:2" ht="21">
      <c r="B5" s="697" t="s">
        <v>670</v>
      </c>
    </row>
    <row r="6" spans="2:2" ht="75">
      <c r="B6" s="689" t="s">
        <v>1622</v>
      </c>
    </row>
    <row r="7" spans="2:2" ht="15.95" customHeight="1">
      <c r="B7" s="690" t="s">
        <v>894</v>
      </c>
    </row>
    <row r="8" spans="2:2" ht="15">
      <c r="B8" s="691"/>
    </row>
    <row r="9" spans="2:2" ht="21">
      <c r="B9" s="697" t="s">
        <v>895</v>
      </c>
    </row>
    <row r="10" spans="2:2" ht="32.1" customHeight="1">
      <c r="B10" s="689" t="s">
        <v>1774</v>
      </c>
    </row>
    <row r="11" spans="2:2" ht="128.1" customHeight="1"/>
    <row r="12" spans="2:2" ht="15"/>
    <row r="13" spans="2:2" ht="24.95" customHeight="1">
      <c r="B13" s="698"/>
    </row>
    <row r="14" spans="2:2" ht="15"/>
    <row r="15" spans="2:2" ht="15"/>
    <row r="16" spans="2:2" ht="15"/>
    <row r="17" spans="2:2" ht="15"/>
    <row r="18" spans="2:2" ht="15"/>
    <row r="19" spans="2:2" ht="15"/>
    <row r="20" spans="2:2" ht="21">
      <c r="B20" s="697" t="s">
        <v>675</v>
      </c>
    </row>
    <row r="21" spans="2:2" ht="15">
      <c r="B21" s="689" t="s">
        <v>1391</v>
      </c>
    </row>
    <row r="22" spans="2:2" ht="17.45" customHeight="1">
      <c r="B22" s="699" t="s">
        <v>1381</v>
      </c>
    </row>
    <row r="23" spans="2:2" ht="15"/>
    <row r="24" spans="2:2" ht="155.1" customHeight="1"/>
    <row r="25" spans="2:2" ht="21">
      <c r="B25" s="697" t="s">
        <v>671</v>
      </c>
    </row>
    <row r="26" spans="2:2" ht="15">
      <c r="B26" s="689" t="s">
        <v>1568</v>
      </c>
    </row>
    <row r="27" spans="2:2" ht="15">
      <c r="B27" s="689" t="s">
        <v>677</v>
      </c>
    </row>
    <row r="28" spans="2:2" ht="48" customHeight="1">
      <c r="B28" s="691" t="s">
        <v>1631</v>
      </c>
    </row>
    <row r="29" spans="2:2" ht="45">
      <c r="B29" s="689" t="s">
        <v>1571</v>
      </c>
    </row>
    <row r="30" spans="2:2" ht="30">
      <c r="B30" s="689" t="s">
        <v>991</v>
      </c>
    </row>
    <row r="31" spans="2:2" ht="15"/>
    <row r="32" spans="2:2" ht="22.5" customHeight="1">
      <c r="B32" s="697" t="s">
        <v>673</v>
      </c>
    </row>
    <row r="33" spans="2:2" ht="198" customHeight="1">
      <c r="B33" s="689" t="s">
        <v>1570</v>
      </c>
    </row>
    <row r="34" spans="2:2" ht="15"/>
    <row r="35" spans="2:2" ht="22.5" customHeight="1">
      <c r="B35" s="697" t="s">
        <v>672</v>
      </c>
    </row>
    <row r="36" spans="2:2" ht="15">
      <c r="B36" s="689" t="s">
        <v>676</v>
      </c>
    </row>
    <row r="37" spans="2:2" ht="15">
      <c r="B37" s="692" t="s">
        <v>1569</v>
      </c>
    </row>
    <row r="38" spans="2:2" ht="15">
      <c r="B38" s="692" t="s">
        <v>896</v>
      </c>
    </row>
    <row r="39" spans="2:2" ht="29.25">
      <c r="B39" s="700" t="s">
        <v>1615</v>
      </c>
    </row>
    <row r="40" spans="2:2" ht="30">
      <c r="B40" s="692" t="s">
        <v>692</v>
      </c>
    </row>
    <row r="41" spans="2:2" ht="15">
      <c r="B41" s="692" t="s">
        <v>897</v>
      </c>
    </row>
    <row r="42" spans="2:2" ht="15">
      <c r="B42" s="692" t="s">
        <v>945</v>
      </c>
    </row>
    <row r="43" spans="2:2" ht="15">
      <c r="B43" s="692" t="s">
        <v>1140</v>
      </c>
    </row>
    <row r="44" spans="2:2" ht="15">
      <c r="B44" s="689" t="s">
        <v>678</v>
      </c>
    </row>
    <row r="45" spans="2:2" ht="15">
      <c r="B45" s="689" t="s">
        <v>693</v>
      </c>
    </row>
    <row r="46" spans="2:2" ht="15">
      <c r="B46" s="689" t="s">
        <v>1559</v>
      </c>
    </row>
    <row r="47" spans="2:2" ht="15"/>
    <row r="48" spans="2:2" ht="22.5" customHeight="1">
      <c r="B48" s="697" t="s">
        <v>674</v>
      </c>
    </row>
    <row r="49" spans="2:2" ht="15">
      <c r="B49" s="689" t="s">
        <v>1625</v>
      </c>
    </row>
    <row r="50" spans="2:2" ht="15.95" customHeight="1">
      <c r="B50" s="701" t="s">
        <v>1626</v>
      </c>
    </row>
    <row r="51" spans="2:2" ht="15.95" customHeight="1">
      <c r="B51" s="701" t="s">
        <v>1773</v>
      </c>
    </row>
    <row r="52" spans="2:2" ht="15"/>
    <row r="53" spans="2:2" ht="22.5" customHeight="1">
      <c r="B53" s="697" t="s">
        <v>1442</v>
      </c>
    </row>
    <row r="54" spans="2:2" ht="32.1" customHeight="1">
      <c r="B54" s="693" t="s">
        <v>1558</v>
      </c>
    </row>
    <row r="55" spans="2:2" ht="15">
      <c r="B55" s="702"/>
    </row>
    <row r="56" spans="2:2" ht="27.95" customHeight="1">
      <c r="B56" s="697" t="s">
        <v>275</v>
      </c>
    </row>
    <row r="57" spans="2:2" ht="48" customHeight="1">
      <c r="B57" s="694" t="s">
        <v>1445</v>
      </c>
    </row>
    <row r="58" spans="2:2" ht="15" customHeight="1">
      <c r="B58" s="703"/>
    </row>
    <row r="59" spans="2:2" ht="27.95" customHeight="1">
      <c r="B59" s="697" t="s">
        <v>1443</v>
      </c>
    </row>
    <row r="60" spans="2:2" ht="15.95" customHeight="1">
      <c r="B60" s="695" t="s">
        <v>1635</v>
      </c>
    </row>
    <row r="61" spans="2:2" ht="27.95" customHeight="1">
      <c r="B61" s="463"/>
    </row>
  </sheetData>
  <sheetProtection algorithmName="SHA-512" hashValue="9MIc+kSfbMmZP8yUtvZd/bJXPfCw8/Z1OTR0E+um6r9yKyOsCr3D2/iKaMR6AXsLEKfD9bX2MWxPZPPDJNjatA==" saltValue="grw0Qhm0txuIP/C9wkrFTA==" spinCount="100000" sheet="1" formatColumns="0" formatRows="0" insertHyperlinks="0"/>
  <hyperlinks>
    <hyperlink ref="B28" r:id="rId1" display="•  The TCO is based on implementation of a digital public good (DPG). These are considered open-source software digital health tools that are adaptable to different countries and contexts. For more information on DPGs, please visit the Digital Square website.  This TCO can still be used for budgeting and benchmarking other software types including commercial off-the-shelf software or Software-as-a-Service models. Costs for these other software types may vary the allocation of costs across different categories. Additional costs such as licensing and subscriptions may also be included and should be added to Implementation Services during Deployment and/or Operations costs. " xr:uid="{19D7AAFC-827C-4609-A608-714018A4DA87}"/>
    <hyperlink ref="B37" r:id="rId2" display="•  Understanding Total Cost of Ownership for Digital Health, a reference document published by VitalWave based on primary data collected from a number of DHI implementions for digital supply chain systems." xr:uid="{28E535DA-80EF-4829-AE49-F522F8099586}"/>
    <hyperlink ref="B38" r:id="rId3" display="•  The Total Cost of Ownership Model for maintaining a mobile solution, developed by Dimagi based on their CommCare application. " xr:uid="{1AF28AE4-B84A-406A-B734-1FB25D2CBE7B}"/>
    <hyperlink ref="B40" r:id="rId4" xr:uid="{74CB5392-3380-48D9-9A55-B03EAFA379C4}"/>
    <hyperlink ref="B41" r:id="rId5" display="•  Planning an Information Systems Project: A Toolkit for Public Health Managers, published by PATH to health planning for implementation of  ICT in health information systems." xr:uid="{AE11300E-522C-4EA3-94DB-D65FB8BD7B11}"/>
    <hyperlink ref="B42" r:id="rId6" xr:uid="{D86B82E5-46C6-4786-8977-847A5064FCB9}"/>
    <hyperlink ref="B43" r:id="rId7" xr:uid="{889D18EB-3A6C-4AD5-945D-3FE8883046B1}"/>
    <hyperlink ref="B7" r:id="rId8" display="Suggested Source: Digital Square Digital Health Market Maturity" xr:uid="{C0D22104-9FCE-4231-92E5-83A6A8CD43D0}"/>
    <hyperlink ref="B39" r:id="rId9" xr:uid="{EB771AA8-FCC3-7243-9A16-5190B29C9E7A}"/>
    <hyperlink ref="B1" location="Menu!D7" tooltip="Menu" display="&lt;&lt; Menu" xr:uid="{283AAE78-8043-6244-9B94-44659C039ED1}"/>
  </hyperlinks>
  <pageMargins left="0.7" right="0.7" top="0.75" bottom="0.75" header="0.3" footer="0.3"/>
  <pageSetup orientation="portrait" r:id="rId10"/>
  <drawing r:id="rId1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17402-2BB5-1245-934B-F017BFC80CE9}">
  <sheetPr codeName="Sheet18">
    <tabColor rgb="FFFF0000"/>
  </sheetPr>
  <dimension ref="A1:E28"/>
  <sheetViews>
    <sheetView zoomScaleNormal="100" workbookViewId="0">
      <pane ySplit="6" topLeftCell="A7" activePane="bottomLeft" state="frozen"/>
      <selection pane="bottomLeft" activeCell="B14" sqref="B14"/>
    </sheetView>
  </sheetViews>
  <sheetFormatPr defaultColWidth="8.5703125" defaultRowHeight="15"/>
  <cols>
    <col min="1" max="1" width="68.42578125" style="315" customWidth="1"/>
    <col min="2" max="2" width="27.42578125" style="499" customWidth="1"/>
    <col min="3" max="3" width="16.42578125" style="315" customWidth="1"/>
    <col min="4" max="4" width="80" style="315" customWidth="1"/>
    <col min="5" max="5" width="42.5703125" style="315" customWidth="1"/>
    <col min="6" max="6" width="42.42578125" style="315" customWidth="1"/>
    <col min="7" max="7" width="8.5703125" style="315"/>
    <col min="8" max="8" width="8.5703125" style="315" customWidth="1"/>
    <col min="9" max="16384" width="8.5703125" style="315"/>
  </cols>
  <sheetData>
    <row r="1" spans="1:5" ht="23.25">
      <c r="A1" s="481" t="s">
        <v>658</v>
      </c>
    </row>
    <row r="2" spans="1:5" ht="90" hidden="1">
      <c r="A2" s="633" t="s">
        <v>992</v>
      </c>
      <c r="B2" s="633"/>
      <c r="C2" s="633"/>
      <c r="D2" s="633"/>
      <c r="E2" s="633"/>
    </row>
    <row r="3" spans="1:5">
      <c r="A3" s="633"/>
      <c r="B3" s="633"/>
      <c r="C3" s="633"/>
      <c r="D3" s="633"/>
      <c r="E3" s="633"/>
    </row>
    <row r="4" spans="1:5">
      <c r="A4" s="633"/>
      <c r="B4" s="633"/>
      <c r="C4" s="633"/>
      <c r="D4" s="633"/>
      <c r="E4" s="633"/>
    </row>
    <row r="5" spans="1:5">
      <c r="A5" s="633"/>
      <c r="B5" s="633"/>
      <c r="C5" s="633"/>
      <c r="D5" s="633"/>
      <c r="E5" s="633"/>
    </row>
    <row r="6" spans="1:5">
      <c r="A6" s="604"/>
      <c r="B6" s="617" t="s">
        <v>993</v>
      </c>
      <c r="C6" s="609" t="s">
        <v>994</v>
      </c>
      <c r="D6" s="609" t="s">
        <v>995</v>
      </c>
      <c r="E6" s="608" t="s">
        <v>958</v>
      </c>
    </row>
    <row r="7" spans="1:5" ht="21">
      <c r="A7" s="607" t="s">
        <v>634</v>
      </c>
      <c r="B7" s="607"/>
      <c r="C7" s="607"/>
      <c r="D7" s="607"/>
      <c r="E7" s="607"/>
    </row>
    <row r="8" spans="1:5" s="498" customFormat="1"/>
    <row r="9" spans="1:5" ht="30">
      <c r="A9" s="435" t="s">
        <v>846</v>
      </c>
      <c r="B9" s="522" t="s">
        <v>57</v>
      </c>
      <c r="C9" s="658"/>
      <c r="D9" s="472" t="s">
        <v>845</v>
      </c>
      <c r="E9" s="478" t="s">
        <v>954</v>
      </c>
    </row>
    <row r="10" spans="1:5" ht="45">
      <c r="A10" s="435" t="s">
        <v>996</v>
      </c>
      <c r="B10" s="630">
        <v>1</v>
      </c>
      <c r="C10" s="642"/>
      <c r="D10" s="471" t="s">
        <v>647</v>
      </c>
      <c r="E10" s="473" t="s">
        <v>955</v>
      </c>
    </row>
    <row r="11" spans="1:5">
      <c r="A11" s="435"/>
      <c r="B11" s="487"/>
      <c r="C11" s="628"/>
      <c r="D11" s="605"/>
      <c r="E11" s="473"/>
    </row>
    <row r="12" spans="1:5" ht="105" customHeight="1">
      <c r="A12" s="476" t="s">
        <v>659</v>
      </c>
      <c r="B12" s="523">
        <v>0.03</v>
      </c>
      <c r="C12" s="641">
        <v>0.03</v>
      </c>
      <c r="D12" s="472" t="s">
        <v>633</v>
      </c>
      <c r="E12" s="478" t="s">
        <v>956</v>
      </c>
    </row>
    <row r="13" spans="1:5">
      <c r="A13" s="476"/>
      <c r="B13" s="488"/>
      <c r="C13" s="359"/>
      <c r="D13" s="602"/>
      <c r="E13" s="478"/>
    </row>
    <row r="14" spans="1:5" ht="75">
      <c r="A14" s="482" t="s">
        <v>660</v>
      </c>
      <c r="B14" s="523">
        <v>0.2</v>
      </c>
      <c r="C14" s="641">
        <v>0.2</v>
      </c>
      <c r="D14" s="472" t="s">
        <v>898</v>
      </c>
      <c r="E14" s="478" t="s">
        <v>957</v>
      </c>
    </row>
    <row r="15" spans="1:5">
      <c r="A15" s="482"/>
      <c r="B15" s="488"/>
      <c r="C15" s="359"/>
      <c r="D15" s="602"/>
      <c r="E15" s="483"/>
    </row>
    <row r="16" spans="1:5" ht="60">
      <c r="A16" s="435" t="s">
        <v>1211</v>
      </c>
      <c r="B16" s="522" t="s">
        <v>950</v>
      </c>
      <c r="C16" s="642"/>
      <c r="D16" s="629" t="s">
        <v>1314</v>
      </c>
      <c r="E16" s="478" t="s">
        <v>957</v>
      </c>
    </row>
    <row r="17" spans="1:5">
      <c r="A17" s="435"/>
      <c r="C17"/>
    </row>
    <row r="18" spans="1:5">
      <c r="A18" s="435" t="str">
        <f>IF(B16="hosting in-house on premise","Are server hosting costs shared or covered by other digital health system implementations or programs? (Enter 'Yes' or 'No')",IF(B16="hosting offsite at data center","Are server hosting costs shared or covered by other digital health system implementations or programs? (Enter 'Yes' or 'No')"," "))</f>
        <v xml:space="preserve"> </v>
      </c>
      <c r="B18" s="499" t="s">
        <v>65</v>
      </c>
      <c r="C18" s="513"/>
      <c r="D18" s="629" t="str">
        <f>IF(B16="hosting through a third-party cloud service (local or international)", " ", "If self-hosting, consider the following costs: 1) Cost of the server, 2) Full-time dev ops engineer at 0.5 FTE/server, 3) Privacy auditing infrastructure, 4)Active security and intrusion detection, 5) High-speed internet, 6) Installation.")</f>
        <v xml:space="preserve"> </v>
      </c>
    </row>
    <row r="19" spans="1:5">
      <c r="A19" s="435"/>
      <c r="C19"/>
    </row>
    <row r="20" spans="1:5" ht="30">
      <c r="A20" s="482" t="s">
        <v>657</v>
      </c>
      <c r="B20" s="522" t="s">
        <v>645</v>
      </c>
      <c r="C20" s="642"/>
    </row>
    <row r="21" spans="1:5">
      <c r="A21" s="482"/>
      <c r="B21" s="686"/>
      <c r="C21"/>
    </row>
    <row r="22" spans="1:5" ht="30">
      <c r="A22" s="482" t="str">
        <f>IF(B20="central national or subnational government","Is the implementation of the solution planned for scaling by end user (number of facilities, healthcare workers, or clients)? (Enter 'Yes' or 'No')","")</f>
        <v>Is the implementation of the solution planned for scaling by end user (number of facilities, healthcare workers, or clients)? (Enter 'Yes' or 'No')</v>
      </c>
      <c r="B22" s="499" t="s">
        <v>65</v>
      </c>
      <c r="C22" s="680"/>
      <c r="D22" s="474"/>
    </row>
    <row r="23" spans="1:5">
      <c r="B23" s="315"/>
      <c r="C23"/>
    </row>
    <row r="24" spans="1:5">
      <c r="A24" s="315" t="str">
        <f>IF(B22="no"," ", "Enter the number of sites where the DHI will be deployed")</f>
        <v>Enter the number of sites where the DHI will be deployed</v>
      </c>
      <c r="B24" s="681">
        <v>2000</v>
      </c>
      <c r="C24" s="513"/>
    </row>
    <row r="25" spans="1:5">
      <c r="A25" s="315" t="s">
        <v>1385</v>
      </c>
    </row>
    <row r="26" spans="1:5">
      <c r="A26" s="315" t="s">
        <v>1386</v>
      </c>
      <c r="E26" s="483"/>
    </row>
    <row r="28" spans="1:5">
      <c r="C28" s="315" t="s">
        <v>1382</v>
      </c>
    </row>
  </sheetData>
  <sheetProtection formatCells="0" formatColumns="0" formatRows="0"/>
  <scenarios current="0" show="0">
    <scenario name="scale" locked="1" count="1" user="Abdul Basith Shaukath" comment="Created by Abdul Basith Shaukath on 3/17/2022">
      <inputCells r="B24" val="2000" numFmtId="164"/>
    </scenario>
  </scenarios>
  <conditionalFormatting sqref="B18">
    <cfRule type="expression" dxfId="54" priority="1">
      <formula>$B$16="Hosting through a third-party cloud service (local or international)"</formula>
    </cfRule>
    <cfRule type="expression" dxfId="53" priority="5">
      <formula>$A$18="Are server hosting costs shared or covered by other digital health system implementations or programs? (Enter 'Yes' or 'No')"</formula>
    </cfRule>
  </conditionalFormatting>
  <conditionalFormatting sqref="B22">
    <cfRule type="expression" dxfId="52" priority="3">
      <formula>$B$20="central national or subnational government"</formula>
    </cfRule>
  </conditionalFormatting>
  <conditionalFormatting sqref="B24">
    <cfRule type="expression" dxfId="51" priority="2">
      <formula>$B$22="No"</formula>
    </cfRule>
  </conditionalFormatting>
  <conditionalFormatting sqref="D18">
    <cfRule type="expression" dxfId="50" priority="4">
      <formula>$B$16=""</formula>
    </cfRule>
  </conditionalFormatting>
  <hyperlinks>
    <hyperlink ref="E10" r:id="rId1" display="Suggested Source: OANDA.com" xr:uid="{9E76CA9F-0589-1841-90C8-E3E277447B83}"/>
    <hyperlink ref="E12" r:id="rId2" display="Suggested Source: Haacker, Hallett, and Atun (2020)" xr:uid="{D804DF48-6694-944E-957D-B2DE40CE19FF}"/>
    <hyperlink ref="E9" r:id="rId3" display="Suggested Source: Digital Square Digital Health Market Maturity" xr:uid="{DE98EBF3-7D33-884C-90E0-853B01FC9554}"/>
    <hyperlink ref="E16" r:id="rId4" xr:uid="{A7599CC9-8FEA-4646-A683-E28A06C226A2}"/>
    <hyperlink ref="E14" r:id="rId5" xr:uid="{7131B88C-3994-5C45-9241-7C0726F4D55F}"/>
  </hyperlinks>
  <pageMargins left="0.7" right="0.7" top="0.75" bottom="0.75" header="0.3" footer="0.3"/>
  <pageSetup orientation="portrait" r:id="rId6"/>
  <drawing r:id="rId7"/>
  <legacyDrawing r:id="rId8"/>
  <extLst>
    <ext xmlns:x14="http://schemas.microsoft.com/office/spreadsheetml/2009/9/main" uri="{CCE6A557-97BC-4b89-ADB6-D9C93CAAB3DF}">
      <x14:dataValidations xmlns:xm="http://schemas.microsoft.com/office/excel/2006/main" count="5">
        <x14:dataValidation type="list" allowBlank="1" showInputMessage="1" showErrorMessage="1" xr:uid="{123034CB-879D-4D4E-BD05-96C7DCD95640}">
          <x14:formula1>
            <xm:f>INDEX(Sheet13!$B$9:$D$10,,MATCH($B$16,Sheet13!$B$8:$D$8,0))</xm:f>
          </x14:formula1>
          <xm:sqref>B18</xm:sqref>
        </x14:dataValidation>
        <x14:dataValidation type="list" allowBlank="1" showInputMessage="1" showErrorMessage="1" error="You can only enter Yes or No in this cell." xr:uid="{DDA47E69-B73D-E745-AB61-216CED57B884}">
          <x14:formula1>
            <xm:f>'Value lists'!$A$1:$A$2</xm:f>
          </x14:formula1>
          <xm:sqref>B22:B23</xm:sqref>
        </x14:dataValidation>
        <x14:dataValidation type="list" allowBlank="1" showInputMessage="1" showErrorMessage="1" xr:uid="{091E439E-35D0-154F-A040-2E4CCC86465C}">
          <x14:formula1>
            <xm:f>Countries!$A$3:$A$159</xm:f>
          </x14:formula1>
          <xm:sqref>B9</xm:sqref>
        </x14:dataValidation>
        <x14:dataValidation type="list" allowBlank="1" showInputMessage="1" showErrorMessage="1" xr:uid="{AFEBA315-24CC-304A-8D6E-6164A42B4F6B}">
          <x14:formula1>
            <xm:f>Sheet14!$A$1:$A$4</xm:f>
          </x14:formula1>
          <xm:sqref>B20</xm:sqref>
        </x14:dataValidation>
        <x14:dataValidation type="list" allowBlank="1" showInputMessage="1" showErrorMessage="1" xr:uid="{B14F8819-30C8-D944-94C8-C873742DF271}">
          <x14:formula1>
            <xm:f>Sheet13!$D$3:$D$5</xm:f>
          </x14:formula1>
          <xm:sqref>B16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2AA5B-7640-9D48-8D66-EA22BC0E7E45}">
  <sheetPr codeName="Sheet19">
    <tabColor rgb="FFFF0000"/>
  </sheetPr>
  <dimension ref="A1:F31"/>
  <sheetViews>
    <sheetView showGridLines="0" zoomScaleNormal="100" workbookViewId="0">
      <pane ySplit="5" topLeftCell="A25" activePane="bottomLeft" state="frozen"/>
      <selection pane="bottomLeft"/>
    </sheetView>
  </sheetViews>
  <sheetFormatPr defaultColWidth="10.85546875" defaultRowHeight="15"/>
  <cols>
    <col min="1" max="1" width="68.42578125" customWidth="1"/>
    <col min="2" max="3" width="20" customWidth="1"/>
    <col min="4" max="4" width="80" customWidth="1"/>
    <col min="5" max="5" width="42.5703125" customWidth="1"/>
  </cols>
  <sheetData>
    <row r="1" spans="1:6" s="315" customFormat="1" ht="23.25">
      <c r="A1" s="481" t="s">
        <v>658</v>
      </c>
      <c r="B1" s="499"/>
    </row>
    <row r="2" spans="1:6" s="315" customFormat="1">
      <c r="A2" s="633"/>
      <c r="B2" s="633"/>
      <c r="C2" s="633"/>
      <c r="D2" s="633"/>
      <c r="E2" s="633"/>
    </row>
    <row r="3" spans="1:6" s="315" customFormat="1">
      <c r="A3" s="633"/>
      <c r="B3" s="633"/>
      <c r="C3" s="633"/>
      <c r="D3" s="633"/>
      <c r="E3" s="633"/>
    </row>
    <row r="4" spans="1:6" s="315" customFormat="1">
      <c r="A4" s="633"/>
      <c r="B4" s="633"/>
      <c r="C4" s="633"/>
      <c r="D4" s="633"/>
      <c r="E4" s="633"/>
    </row>
    <row r="5" spans="1:6">
      <c r="B5" s="617" t="s">
        <v>993</v>
      </c>
      <c r="C5" s="609" t="s">
        <v>994</v>
      </c>
      <c r="D5" s="609" t="s">
        <v>995</v>
      </c>
      <c r="E5" s="608" t="s">
        <v>958</v>
      </c>
    </row>
    <row r="6" spans="1:6" s="315" customFormat="1" ht="21">
      <c r="A6" s="607" t="s">
        <v>646</v>
      </c>
      <c r="B6" s="500"/>
      <c r="C6" s="489"/>
      <c r="D6" s="489"/>
      <c r="E6" s="490"/>
    </row>
    <row r="7" spans="1:6" s="315" customFormat="1"/>
    <row r="8" spans="1:6" s="315" customFormat="1" ht="105">
      <c r="A8" s="435" t="s">
        <v>1383</v>
      </c>
      <c r="B8" s="524" t="s">
        <v>65</v>
      </c>
      <c r="C8" s="628"/>
      <c r="D8" s="472" t="s">
        <v>1289</v>
      </c>
      <c r="E8" s="478" t="s">
        <v>957</v>
      </c>
    </row>
    <row r="9" spans="1:6" s="315" customFormat="1" ht="21.95" customHeight="1">
      <c r="A9" s="687" t="str">
        <f>IF(B8="No",HYPERLINK("#'Input - Deployment Costs'!C10","Go to Input - Deployment Costs"),"")</f>
        <v/>
      </c>
      <c r="B9" s="685"/>
      <c r="C9" s="684"/>
      <c r="D9" s="472"/>
      <c r="E9" s="477"/>
    </row>
    <row r="10" spans="1:6" ht="45">
      <c r="A10" s="293" t="s">
        <v>0</v>
      </c>
      <c r="B10" s="638"/>
      <c r="C10" s="638"/>
      <c r="D10" s="663" t="s">
        <v>691</v>
      </c>
      <c r="E10" s="664"/>
    </row>
    <row r="11" spans="1:6" s="315" customFormat="1" ht="90">
      <c r="A11" s="648" t="s">
        <v>1222</v>
      </c>
      <c r="B11" s="606">
        <v>10000</v>
      </c>
      <c r="C11" s="657" t="s">
        <v>1208</v>
      </c>
      <c r="D11" s="472" t="s">
        <v>1224</v>
      </c>
      <c r="E11" s="558" t="s">
        <v>1310</v>
      </c>
    </row>
    <row r="12" spans="1:6" s="315" customFormat="1" ht="60">
      <c r="A12" s="648" t="s">
        <v>1225</v>
      </c>
      <c r="B12" s="606">
        <v>3</v>
      </c>
      <c r="C12" s="678" t="s">
        <v>1234</v>
      </c>
      <c r="D12" s="472" t="s">
        <v>1231</v>
      </c>
      <c r="E12" s="558" t="s">
        <v>1311</v>
      </c>
      <c r="F12" s="558"/>
    </row>
    <row r="13" spans="1:6" s="315" customFormat="1">
      <c r="A13" s="508" t="s">
        <v>1226</v>
      </c>
      <c r="B13" s="610">
        <f>B11*B12</f>
        <v>30000</v>
      </c>
      <c r="C13" s="529"/>
      <c r="D13" s="472" t="s">
        <v>910</v>
      </c>
      <c r="E13" s="473"/>
    </row>
    <row r="14" spans="1:6" s="315" customFormat="1">
      <c r="A14" s="484"/>
      <c r="B14" s="611"/>
      <c r="C14" s="627"/>
      <c r="D14" s="602"/>
      <c r="E14" s="483"/>
    </row>
    <row r="15" spans="1:6" s="315" customFormat="1" ht="75">
      <c r="A15" s="648" t="s">
        <v>871</v>
      </c>
      <c r="B15" s="606">
        <v>2000</v>
      </c>
      <c r="C15" s="657" t="s">
        <v>1208</v>
      </c>
      <c r="D15" s="472" t="s">
        <v>899</v>
      </c>
      <c r="E15" s="558" t="s">
        <v>1311</v>
      </c>
    </row>
    <row r="16" spans="1:6" s="315" customFormat="1" ht="150">
      <c r="A16" s="648" t="s">
        <v>870</v>
      </c>
      <c r="B16" s="606">
        <v>60000</v>
      </c>
      <c r="C16" s="653" t="s">
        <v>1164</v>
      </c>
      <c r="D16" s="472" t="s">
        <v>893</v>
      </c>
      <c r="E16" s="558" t="s">
        <v>1311</v>
      </c>
    </row>
    <row r="17" spans="1:5" s="315" customFormat="1" ht="30">
      <c r="A17" s="648" t="s">
        <v>1121</v>
      </c>
      <c r="B17" s="606">
        <v>10000</v>
      </c>
      <c r="C17" s="642"/>
      <c r="D17" s="472" t="s">
        <v>1353</v>
      </c>
      <c r="E17" s="483"/>
    </row>
    <row r="18" spans="1:5" s="315" customFormat="1">
      <c r="A18" s="484"/>
      <c r="B18" s="501"/>
      <c r="C18" s="627"/>
      <c r="D18" s="602"/>
      <c r="E18" s="483"/>
    </row>
    <row r="19" spans="1:5">
      <c r="A19" s="293" t="s">
        <v>667</v>
      </c>
      <c r="B19" s="638"/>
      <c r="C19" s="631"/>
      <c r="D19" s="663"/>
      <c r="E19" s="664"/>
    </row>
    <row r="20" spans="1:5" s="315" customFormat="1">
      <c r="C20" s="468"/>
    </row>
    <row r="21" spans="1:5" s="315" customFormat="1" ht="90">
      <c r="A21" s="648" t="s">
        <v>1239</v>
      </c>
      <c r="B21" s="606">
        <v>30000</v>
      </c>
      <c r="C21" s="657" t="s">
        <v>1208</v>
      </c>
      <c r="D21" s="472" t="s">
        <v>1227</v>
      </c>
      <c r="E21" s="558" t="s">
        <v>1310</v>
      </c>
    </row>
    <row r="22" spans="1:5" s="315" customFormat="1" ht="60">
      <c r="A22" s="648" t="s">
        <v>1228</v>
      </c>
      <c r="B22" s="606">
        <v>1</v>
      </c>
      <c r="C22" s="677" t="s">
        <v>1235</v>
      </c>
      <c r="D22" s="472" t="s">
        <v>1232</v>
      </c>
      <c r="E22" s="558" t="s">
        <v>1311</v>
      </c>
    </row>
    <row r="23" spans="1:5" s="315" customFormat="1" ht="30">
      <c r="A23" s="508" t="s">
        <v>1229</v>
      </c>
      <c r="B23" s="610">
        <f>B21*B22</f>
        <v>30000</v>
      </c>
      <c r="C23" s="529"/>
      <c r="D23" s="472" t="s">
        <v>910</v>
      </c>
      <c r="E23" s="473"/>
    </row>
    <row r="24" spans="1:5" s="315" customFormat="1">
      <c r="A24" s="435"/>
      <c r="B24" s="612"/>
      <c r="C24" s="627"/>
      <c r="D24" s="472"/>
      <c r="E24" s="483"/>
    </row>
    <row r="25" spans="1:5" s="315" customFormat="1" ht="30">
      <c r="A25" s="648" t="s">
        <v>904</v>
      </c>
      <c r="B25" s="606">
        <v>5000</v>
      </c>
      <c r="C25" s="642"/>
      <c r="D25" s="472" t="s">
        <v>1230</v>
      </c>
      <c r="E25" s="496" t="s">
        <v>957</v>
      </c>
    </row>
    <row r="26" spans="1:5" s="315" customFormat="1">
      <c r="A26" s="435"/>
      <c r="B26" s="501"/>
      <c r="C26" s="627"/>
      <c r="D26" s="602"/>
      <c r="E26" s="483"/>
    </row>
    <row r="27" spans="1:5">
      <c r="A27" s="293" t="s">
        <v>3</v>
      </c>
      <c r="B27" s="638"/>
      <c r="C27" s="631"/>
      <c r="D27" s="663"/>
      <c r="E27" s="664"/>
    </row>
    <row r="28" spans="1:5" s="315" customFormat="1">
      <c r="A28" s="482"/>
      <c r="B28" s="505"/>
      <c r="C28" s="468"/>
      <c r="D28" s="472"/>
      <c r="E28" s="478"/>
    </row>
    <row r="29" spans="1:5" s="315" customFormat="1" ht="90">
      <c r="A29" s="648" t="s">
        <v>1240</v>
      </c>
      <c r="B29" s="619">
        <v>30000</v>
      </c>
      <c r="C29" s="657" t="s">
        <v>1208</v>
      </c>
      <c r="D29" s="472" t="s">
        <v>947</v>
      </c>
      <c r="E29" s="558" t="s">
        <v>1310</v>
      </c>
    </row>
    <row r="30" spans="1:5" s="315" customFormat="1" ht="75">
      <c r="A30" s="648" t="s">
        <v>1241</v>
      </c>
      <c r="B30" s="619">
        <v>3</v>
      </c>
      <c r="C30" s="677" t="s">
        <v>1236</v>
      </c>
      <c r="D30" s="472" t="s">
        <v>1233</v>
      </c>
      <c r="E30" s="558" t="s">
        <v>1311</v>
      </c>
    </row>
    <row r="31" spans="1:5" s="315" customFormat="1">
      <c r="A31" s="508" t="s">
        <v>1242</v>
      </c>
      <c r="B31" s="618">
        <f>B29*B30</f>
        <v>90000</v>
      </c>
      <c r="C31" s="529"/>
      <c r="D31" s="472" t="s">
        <v>910</v>
      </c>
      <c r="E31" s="473"/>
    </row>
  </sheetData>
  <conditionalFormatting sqref="B11:B31">
    <cfRule type="expression" dxfId="49" priority="1">
      <formula>$B$8="No"</formula>
    </cfRule>
  </conditionalFormatting>
  <hyperlinks>
    <hyperlink ref="E8" r:id="rId1" xr:uid="{B0096DCC-D06E-4492-83D1-7A273858BB8D}"/>
    <hyperlink ref="E25" r:id="rId2" xr:uid="{D45362E5-ECBC-453D-AFB4-2FC0B2DB3445}"/>
    <hyperlink ref="C11" location="'Salary input data '!A4" display="See Salary input data tab " xr:uid="{CA6E4BCD-F394-4932-975D-FFB8F6C655BE}"/>
    <hyperlink ref="C15" location="'Salary input data '!A4" display="See Salary input data tab " xr:uid="{02FDC079-D876-48A0-8487-527668B233AA}"/>
    <hyperlink ref="C21" location="'Salary input data '!A4" display="See Salary input data tab " xr:uid="{6703F33C-F8F8-44FE-AB5B-A29B23FB49CA}"/>
    <hyperlink ref="C29" location="'Salary input data '!A4" display="See Salary input data tab " xr:uid="{CB1A357B-2728-467D-BEF7-35A8D6489513}"/>
  </hyperlinks>
  <pageMargins left="0.7" right="0.7" top="0.75" bottom="0.75" header="0.3" footer="0.3"/>
  <pageSetup orientation="portrait" horizontalDpi="0" verticalDpi="0"/>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You can only enter Yes or No in this cell." xr:uid="{259367F1-5C77-4CCE-BD90-0F03CD80BC91}">
          <x14:formula1>
            <xm:f>'Value lists'!$A$1:$A$2</xm:f>
          </x14:formula1>
          <xm:sqref>B8</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7C7BE-A42C-604D-9059-16CE584BBF1B}">
  <sheetPr codeName="Sheet20">
    <tabColor rgb="FFFF0000"/>
  </sheetPr>
  <dimension ref="A1:E85"/>
  <sheetViews>
    <sheetView showGridLines="0" zoomScaleNormal="100" workbookViewId="0">
      <pane ySplit="6" topLeftCell="A12" activePane="bottomLeft" state="frozen"/>
      <selection pane="bottomLeft"/>
    </sheetView>
  </sheetViews>
  <sheetFormatPr defaultColWidth="10.85546875" defaultRowHeight="15"/>
  <cols>
    <col min="1" max="1" width="68.42578125" customWidth="1"/>
    <col min="2" max="3" width="20" hidden="1" customWidth="1"/>
    <col min="4" max="4" width="80" customWidth="1"/>
    <col min="5" max="5" width="42.5703125" customWidth="1"/>
  </cols>
  <sheetData>
    <row r="1" spans="1:5" ht="23.25">
      <c r="A1" s="481" t="s">
        <v>658</v>
      </c>
      <c r="B1" s="499"/>
      <c r="C1" s="315"/>
      <c r="D1" s="315"/>
      <c r="E1" s="315"/>
    </row>
    <row r="2" spans="1:5" ht="90" hidden="1">
      <c r="A2" s="633" t="s">
        <v>992</v>
      </c>
      <c r="B2" s="633"/>
      <c r="C2" s="633"/>
      <c r="D2" s="633"/>
      <c r="E2" s="633"/>
    </row>
    <row r="3" spans="1:5">
      <c r="A3" s="633"/>
      <c r="B3" s="633"/>
      <c r="C3" s="633"/>
      <c r="D3" s="633"/>
      <c r="E3" s="633"/>
    </row>
    <row r="4" spans="1:5">
      <c r="A4" s="633"/>
      <c r="B4" s="633"/>
      <c r="C4" s="633"/>
      <c r="D4" s="633"/>
      <c r="E4" s="633"/>
    </row>
    <row r="5" spans="1:5">
      <c r="A5" s="633"/>
      <c r="B5" s="633"/>
      <c r="C5" s="633"/>
      <c r="D5" s="633"/>
      <c r="E5" s="633"/>
    </row>
    <row r="6" spans="1:5">
      <c r="B6" s="617" t="s">
        <v>993</v>
      </c>
      <c r="C6" s="609" t="s">
        <v>994</v>
      </c>
      <c r="D6" s="609" t="s">
        <v>995</v>
      </c>
      <c r="E6" s="608" t="s">
        <v>958</v>
      </c>
    </row>
    <row r="7" spans="1:5" s="315" customFormat="1" ht="136.5">
      <c r="A7" s="607" t="s">
        <v>648</v>
      </c>
      <c r="B7" s="500"/>
      <c r="C7" s="603"/>
      <c r="D7" s="632" t="s">
        <v>661</v>
      </c>
      <c r="E7" s="491"/>
    </row>
    <row r="8" spans="1:5" s="315" customFormat="1"/>
    <row r="9" spans="1:5" ht="75">
      <c r="A9" s="293" t="s">
        <v>5</v>
      </c>
      <c r="B9" s="638"/>
      <c r="C9" s="631"/>
      <c r="D9" s="663" t="s">
        <v>655</v>
      </c>
      <c r="E9" s="664"/>
    </row>
    <row r="10" spans="1:5" s="315" customFormat="1">
      <c r="C10" s="605"/>
    </row>
    <row r="11" spans="1:5" s="315" customFormat="1" ht="60">
      <c r="A11" s="528" t="s">
        <v>900</v>
      </c>
      <c r="B11" s="525" t="s">
        <v>65</v>
      </c>
      <c r="C11" s="642"/>
      <c r="D11" s="472" t="s">
        <v>901</v>
      </c>
      <c r="E11" s="558" t="s">
        <v>1311</v>
      </c>
    </row>
    <row r="12" spans="1:5" s="315" customFormat="1" ht="45">
      <c r="A12" s="676" t="str">
        <f>IF(B11="Yes","Costs should be entered in terms of what will be incurred for this project. If no new equipment will be purchased for this deployment, enter '$0' in the specific cost line items for equipment below.","")</f>
        <v>Costs should be entered in terms of what will be incurred for this project. If no new equipment will be purchased for this deployment, enter '$0' in the specific cost line items for equipment below.</v>
      </c>
      <c r="B12" s="499"/>
      <c r="C12" s="602"/>
      <c r="D12" s="602"/>
      <c r="E12" s="483"/>
    </row>
    <row r="13" spans="1:5" s="315" customFormat="1" ht="60">
      <c r="A13" s="647" t="s">
        <v>849</v>
      </c>
      <c r="B13" s="619">
        <v>3000</v>
      </c>
      <c r="C13" s="653" t="s">
        <v>1142</v>
      </c>
      <c r="D13" s="472" t="s">
        <v>847</v>
      </c>
      <c r="E13" s="558" t="s">
        <v>1312</v>
      </c>
    </row>
    <row r="14" spans="1:5" s="315" customFormat="1" ht="45">
      <c r="A14" s="648" t="s">
        <v>860</v>
      </c>
      <c r="B14" s="681"/>
      <c r="C14" s="671">
        <f>'Scope of implementation'!C17</f>
        <v>0</v>
      </c>
      <c r="D14" s="472" t="s">
        <v>1322</v>
      </c>
      <c r="E14" s="483"/>
    </row>
    <row r="15" spans="1:5" s="315" customFormat="1">
      <c r="A15" s="509" t="s">
        <v>848</v>
      </c>
      <c r="B15" s="620">
        <f>B14*B13</f>
        <v>0</v>
      </c>
      <c r="C15" s="495"/>
      <c r="D15" s="472" t="s">
        <v>850</v>
      </c>
      <c r="E15" s="483"/>
    </row>
    <row r="16" spans="1:5" s="315" customFormat="1">
      <c r="A16" s="497"/>
      <c r="B16" s="621"/>
      <c r="D16" s="602"/>
      <c r="E16" s="483"/>
    </row>
    <row r="17" spans="1:5" s="315" customFormat="1">
      <c r="A17" s="647" t="s">
        <v>851</v>
      </c>
      <c r="B17" s="619">
        <v>700</v>
      </c>
      <c r="C17" s="653" t="s">
        <v>1212</v>
      </c>
      <c r="E17" s="483"/>
    </row>
    <row r="18" spans="1:5" s="315" customFormat="1" ht="30">
      <c r="A18" s="648" t="s">
        <v>859</v>
      </c>
      <c r="B18" s="681"/>
      <c r="C18" s="671">
        <f>'Scope of implementation'!C17</f>
        <v>0</v>
      </c>
      <c r="D18" s="472" t="s">
        <v>1323</v>
      </c>
      <c r="E18" s="478" t="s">
        <v>959</v>
      </c>
    </row>
    <row r="19" spans="1:5" s="315" customFormat="1">
      <c r="A19" s="509" t="s">
        <v>852</v>
      </c>
      <c r="B19" s="622">
        <f>B18*B17</f>
        <v>0</v>
      </c>
      <c r="C19" s="495"/>
      <c r="D19" s="472" t="s">
        <v>855</v>
      </c>
    </row>
    <row r="20" spans="1:5" s="315" customFormat="1">
      <c r="A20" s="506"/>
      <c r="B20" s="613"/>
    </row>
    <row r="21" spans="1:5" s="315" customFormat="1" ht="30">
      <c r="A21" s="647" t="s">
        <v>853</v>
      </c>
      <c r="B21" s="665">
        <v>700</v>
      </c>
      <c r="C21" s="653" t="s">
        <v>1148</v>
      </c>
      <c r="D21" s="472"/>
      <c r="E21" s="483"/>
    </row>
    <row r="22" spans="1:5" s="315" customFormat="1" ht="30">
      <c r="A22" s="648" t="s">
        <v>858</v>
      </c>
      <c r="B22" s="681"/>
      <c r="C22" s="671">
        <f>'Scope of implementation'!C17</f>
        <v>0</v>
      </c>
      <c r="D22" s="472" t="s">
        <v>662</v>
      </c>
      <c r="E22" s="478" t="s">
        <v>957</v>
      </c>
    </row>
    <row r="23" spans="1:5" s="315" customFormat="1">
      <c r="A23" s="509" t="s">
        <v>854</v>
      </c>
      <c r="B23" s="622">
        <f>B21*B22</f>
        <v>0</v>
      </c>
      <c r="C23" s="495"/>
      <c r="D23" s="472" t="s">
        <v>856</v>
      </c>
    </row>
    <row r="24" spans="1:5" s="315" customFormat="1">
      <c r="A24" s="497"/>
      <c r="B24" s="613"/>
    </row>
    <row r="25" spans="1:5" s="315" customFormat="1" ht="60">
      <c r="A25" s="647" t="s">
        <v>857</v>
      </c>
      <c r="B25" s="665">
        <v>300</v>
      </c>
      <c r="C25" s="653" t="s">
        <v>1153</v>
      </c>
      <c r="D25" s="472" t="s">
        <v>1154</v>
      </c>
      <c r="E25" s="478" t="s">
        <v>961</v>
      </c>
    </row>
    <row r="26" spans="1:5" s="315" customFormat="1" ht="30">
      <c r="A26" s="648" t="s">
        <v>861</v>
      </c>
      <c r="B26" s="681">
        <v>2000</v>
      </c>
      <c r="C26" s="671">
        <f>'Scope of implementation'!C17</f>
        <v>0</v>
      </c>
      <c r="D26" s="472" t="s">
        <v>902</v>
      </c>
      <c r="E26" s="478" t="s">
        <v>957</v>
      </c>
    </row>
    <row r="27" spans="1:5" s="315" customFormat="1" ht="30">
      <c r="A27" s="509" t="s">
        <v>862</v>
      </c>
      <c r="B27" s="622">
        <f>B25*B26</f>
        <v>600000</v>
      </c>
      <c r="C27" s="636"/>
      <c r="D27" s="472" t="s">
        <v>863</v>
      </c>
    </row>
    <row r="28" spans="1:5" s="315" customFormat="1">
      <c r="A28" s="506"/>
      <c r="B28" s="623"/>
      <c r="C28" s="666"/>
      <c r="D28" s="486"/>
    </row>
    <row r="29" spans="1:5" s="315" customFormat="1" ht="30">
      <c r="A29" s="648" t="s">
        <v>905</v>
      </c>
      <c r="B29" s="619">
        <v>500</v>
      </c>
      <c r="C29" s="628"/>
      <c r="D29" s="635" t="s">
        <v>864</v>
      </c>
    </row>
    <row r="30" spans="1:5" s="315" customFormat="1">
      <c r="A30" s="484"/>
      <c r="B30" s="499"/>
    </row>
    <row r="31" spans="1:5" ht="30">
      <c r="A31" s="293" t="s">
        <v>7</v>
      </c>
      <c r="B31" s="638"/>
      <c r="C31" s="631"/>
      <c r="D31" s="663" t="s">
        <v>663</v>
      </c>
      <c r="E31" s="664"/>
    </row>
    <row r="32" spans="1:5" s="315" customFormat="1">
      <c r="C32" s="605"/>
    </row>
    <row r="33" spans="1:5" s="315" customFormat="1" ht="60">
      <c r="A33" s="648" t="s">
        <v>865</v>
      </c>
      <c r="B33" s="525" t="s">
        <v>65</v>
      </c>
      <c r="C33" s="642"/>
      <c r="D33" s="472" t="s">
        <v>903</v>
      </c>
      <c r="E33" s="558" t="s">
        <v>1311</v>
      </c>
    </row>
    <row r="34" spans="1:5" s="315" customFormat="1" ht="45">
      <c r="A34" s="672" t="str">
        <f>IF(B33="Yes","Costs should be entered in terms of what will be incurred for this project. If no new infrastructure will be purchased for this deployment, enter '$0' in the specific cost line items for infrastructure below.","")</f>
        <v>Costs should be entered in terms of what will be incurred for this project. If no new infrastructure will be purchased for this deployment, enter '$0' in the specific cost line items for infrastructure below.</v>
      </c>
      <c r="B34" s="499"/>
      <c r="E34" s="483"/>
    </row>
    <row r="35" spans="1:5" s="315" customFormat="1" ht="60">
      <c r="A35" s="647" t="s">
        <v>866</v>
      </c>
      <c r="B35" s="665">
        <v>500</v>
      </c>
      <c r="C35" s="642"/>
      <c r="D35" s="472" t="s">
        <v>1155</v>
      </c>
      <c r="E35" s="478" t="s">
        <v>957</v>
      </c>
    </row>
    <row r="36" spans="1:5" s="315" customFormat="1" ht="30">
      <c r="A36" s="648" t="s">
        <v>867</v>
      </c>
      <c r="B36" s="681">
        <v>1000</v>
      </c>
      <c r="C36" s="642"/>
      <c r="D36" s="472" t="s">
        <v>868</v>
      </c>
      <c r="E36" s="483"/>
    </row>
    <row r="37" spans="1:5" s="315" customFormat="1" ht="30">
      <c r="A37" s="509" t="s">
        <v>876</v>
      </c>
      <c r="B37" s="622">
        <f>B36*B35</f>
        <v>500000</v>
      </c>
      <c r="C37" s="495"/>
      <c r="D37" s="472" t="s">
        <v>869</v>
      </c>
      <c r="E37" s="464"/>
    </row>
    <row r="38" spans="1:5" s="315" customFormat="1">
      <c r="B38" s="613"/>
    </row>
    <row r="39" spans="1:5" s="315" customFormat="1" ht="75">
      <c r="A39" s="673" t="s">
        <v>872</v>
      </c>
      <c r="B39" s="667">
        <v>60</v>
      </c>
      <c r="C39" s="653" t="s">
        <v>1170</v>
      </c>
      <c r="D39" s="472" t="s">
        <v>874</v>
      </c>
      <c r="E39" s="558" t="s">
        <v>1311</v>
      </c>
    </row>
    <row r="40" spans="1:5" s="315" customFormat="1" ht="30">
      <c r="A40" s="648" t="s">
        <v>873</v>
      </c>
      <c r="B40" s="681">
        <v>1000</v>
      </c>
      <c r="C40" s="642"/>
      <c r="D40" s="472" t="s">
        <v>875</v>
      </c>
      <c r="E40" s="478" t="s">
        <v>961</v>
      </c>
    </row>
    <row r="41" spans="1:5" s="315" customFormat="1">
      <c r="A41" s="509" t="s">
        <v>877</v>
      </c>
      <c r="B41" s="622">
        <f>B39*B40</f>
        <v>60000</v>
      </c>
      <c r="C41" s="495"/>
      <c r="D41" s="472" t="s">
        <v>889</v>
      </c>
      <c r="E41" s="464"/>
    </row>
    <row r="42" spans="1:5" s="315" customFormat="1">
      <c r="B42" s="613"/>
    </row>
    <row r="43" spans="1:5" s="315" customFormat="1" ht="30">
      <c r="A43" s="647" t="s">
        <v>878</v>
      </c>
      <c r="B43" s="619">
        <v>100</v>
      </c>
      <c r="C43" s="653" t="s">
        <v>1159</v>
      </c>
      <c r="D43" s="471"/>
      <c r="E43" s="478" t="s">
        <v>961</v>
      </c>
    </row>
    <row r="44" spans="1:5" s="315" customFormat="1" ht="60">
      <c r="A44" s="648" t="s">
        <v>879</v>
      </c>
      <c r="B44" s="681">
        <v>1000</v>
      </c>
      <c r="C44" s="674">
        <f>'Scope of implementation'!C17</f>
        <v>0</v>
      </c>
      <c r="D44" s="472" t="s">
        <v>1325</v>
      </c>
      <c r="E44" s="478" t="s">
        <v>957</v>
      </c>
    </row>
    <row r="45" spans="1:5" s="315" customFormat="1" ht="30">
      <c r="A45" s="509" t="s">
        <v>887</v>
      </c>
      <c r="B45" s="622">
        <f>B43*B44</f>
        <v>100000</v>
      </c>
      <c r="C45" s="495"/>
      <c r="D45" s="472" t="s">
        <v>880</v>
      </c>
    </row>
    <row r="46" spans="1:5" s="315" customFormat="1">
      <c r="A46" s="485"/>
      <c r="B46" s="613"/>
    </row>
    <row r="47" spans="1:5" s="315" customFormat="1" ht="30">
      <c r="A47" s="648" t="s">
        <v>907</v>
      </c>
      <c r="B47" s="619">
        <v>0</v>
      </c>
      <c r="C47" s="642"/>
      <c r="D47" s="635" t="s">
        <v>906</v>
      </c>
      <c r="E47" s="478" t="s">
        <v>957</v>
      </c>
    </row>
    <row r="48" spans="1:5" s="315" customFormat="1">
      <c r="A48" s="480"/>
      <c r="B48" s="501"/>
      <c r="C48" s="479"/>
      <c r="D48" s="479"/>
      <c r="E48" s="479"/>
    </row>
    <row r="49" spans="1:5" ht="30">
      <c r="A49" s="637" t="s">
        <v>9</v>
      </c>
      <c r="B49" s="638"/>
      <c r="C49" s="631"/>
      <c r="D49" s="663" t="s">
        <v>651</v>
      </c>
      <c r="E49" s="664"/>
    </row>
    <row r="50" spans="1:5" s="315" customFormat="1">
      <c r="C50" s="602"/>
    </row>
    <row r="51" spans="1:5" s="315" customFormat="1" ht="60">
      <c r="A51" s="648" t="s">
        <v>1237</v>
      </c>
      <c r="B51" s="619">
        <v>10000</v>
      </c>
      <c r="C51" s="657" t="s">
        <v>1208</v>
      </c>
      <c r="D51" s="472" t="s">
        <v>909</v>
      </c>
      <c r="E51" s="558" t="s">
        <v>1311</v>
      </c>
    </row>
    <row r="52" spans="1:5" s="315" customFormat="1" ht="45">
      <c r="A52" s="648" t="s">
        <v>1223</v>
      </c>
      <c r="B52" s="624">
        <v>0.5</v>
      </c>
      <c r="C52" s="668">
        <v>0.5</v>
      </c>
      <c r="D52" s="472" t="s">
        <v>1238</v>
      </c>
      <c r="E52" s="478" t="s">
        <v>959</v>
      </c>
    </row>
    <row r="53" spans="1:5" s="315" customFormat="1">
      <c r="A53" s="508" t="s">
        <v>881</v>
      </c>
      <c r="B53" s="622">
        <f>B51*B52</f>
        <v>5000</v>
      </c>
      <c r="C53" s="495"/>
      <c r="D53" s="472" t="s">
        <v>910</v>
      </c>
    </row>
    <row r="54" spans="1:5" s="315" customFormat="1">
      <c r="A54" s="497"/>
      <c r="B54" s="613"/>
    </row>
    <row r="55" spans="1:5" s="315" customFormat="1" ht="30">
      <c r="A55" s="528" t="s">
        <v>908</v>
      </c>
      <c r="B55" s="619">
        <v>0</v>
      </c>
      <c r="C55" s="642"/>
      <c r="D55" s="635"/>
      <c r="E55" s="483"/>
    </row>
    <row r="56" spans="1:5" s="315" customFormat="1">
      <c r="A56" s="480"/>
      <c r="B56" s="501"/>
      <c r="C56" s="479"/>
      <c r="D56" s="479"/>
      <c r="E56" s="479"/>
    </row>
    <row r="57" spans="1:5" ht="30">
      <c r="A57" s="637" t="s">
        <v>11</v>
      </c>
      <c r="B57" s="638"/>
      <c r="C57" s="631"/>
      <c r="D57" s="663" t="s">
        <v>664</v>
      </c>
      <c r="E57" s="640"/>
    </row>
    <row r="58" spans="1:5" s="315" customFormat="1" ht="75">
      <c r="A58" s="648" t="s">
        <v>1244</v>
      </c>
      <c r="B58" s="619">
        <v>40000</v>
      </c>
      <c r="C58" s="657" t="s">
        <v>1208</v>
      </c>
      <c r="D58" s="472" t="s">
        <v>665</v>
      </c>
      <c r="E58" s="478" t="s">
        <v>957</v>
      </c>
    </row>
    <row r="59" spans="1:5" s="315" customFormat="1" ht="30">
      <c r="A59" s="647" t="s">
        <v>1252</v>
      </c>
      <c r="B59" s="625">
        <v>1</v>
      </c>
      <c r="C59" s="642"/>
      <c r="D59" s="472" t="s">
        <v>1243</v>
      </c>
      <c r="E59" s="483"/>
    </row>
    <row r="60" spans="1:5" s="315" customFormat="1">
      <c r="A60" s="508" t="s">
        <v>940</v>
      </c>
      <c r="B60" s="622">
        <f>B58*B59</f>
        <v>40000</v>
      </c>
      <c r="C60" s="495"/>
      <c r="D60" s="472" t="s">
        <v>910</v>
      </c>
    </row>
    <row r="61" spans="1:5" s="315" customFormat="1">
      <c r="A61" s="497"/>
      <c r="B61" s="501"/>
      <c r="C61" s="479"/>
      <c r="D61" s="479"/>
      <c r="E61" s="479"/>
    </row>
    <row r="62" spans="1:5" ht="45">
      <c r="A62" s="637" t="s">
        <v>1213</v>
      </c>
      <c r="B62" s="638"/>
      <c r="C62" s="631"/>
      <c r="D62" s="639" t="s">
        <v>943</v>
      </c>
      <c r="E62" s="640"/>
    </row>
    <row r="63" spans="1:5" s="315" customFormat="1" ht="45">
      <c r="A63" s="648" t="s">
        <v>1245</v>
      </c>
      <c r="B63" s="626">
        <v>20000</v>
      </c>
      <c r="C63" s="657" t="s">
        <v>1208</v>
      </c>
      <c r="D63" s="472" t="s">
        <v>911</v>
      </c>
      <c r="E63" s="478" t="s">
        <v>957</v>
      </c>
    </row>
    <row r="64" spans="1:5" s="315" customFormat="1" ht="30">
      <c r="A64" s="647" t="s">
        <v>1251</v>
      </c>
      <c r="B64" s="625">
        <v>2</v>
      </c>
      <c r="C64" s="642"/>
      <c r="D64" s="472" t="s">
        <v>1243</v>
      </c>
      <c r="E64" s="483"/>
    </row>
    <row r="65" spans="1:5" s="315" customFormat="1" ht="30">
      <c r="A65" s="508" t="s">
        <v>1214</v>
      </c>
      <c r="B65" s="622">
        <f>B63*B64</f>
        <v>40000</v>
      </c>
      <c r="C65" s="495"/>
      <c r="D65" s="472" t="s">
        <v>910</v>
      </c>
    </row>
    <row r="66" spans="1:5" s="315" customFormat="1">
      <c r="A66" s="480"/>
      <c r="B66" s="501"/>
      <c r="C66" s="479"/>
      <c r="D66" s="479"/>
      <c r="E66" s="479"/>
    </row>
    <row r="67" spans="1:5" ht="75">
      <c r="A67" s="637" t="s">
        <v>33</v>
      </c>
      <c r="B67" s="638"/>
      <c r="C67" s="631"/>
      <c r="D67" s="649" t="s">
        <v>944</v>
      </c>
      <c r="E67" s="640"/>
    </row>
    <row r="68" spans="1:5" s="315" customFormat="1" ht="60">
      <c r="A68" s="648" t="s">
        <v>1266</v>
      </c>
      <c r="B68" s="619">
        <v>10000</v>
      </c>
      <c r="C68" s="657" t="s">
        <v>1208</v>
      </c>
      <c r="D68" s="634" t="s">
        <v>941</v>
      </c>
      <c r="E68" s="478" t="s">
        <v>959</v>
      </c>
    </row>
    <row r="69" spans="1:5" s="315" customFormat="1" ht="45">
      <c r="A69" s="647" t="s">
        <v>1250</v>
      </c>
      <c r="B69" s="625">
        <v>1</v>
      </c>
      <c r="C69" s="668">
        <v>0.5</v>
      </c>
      <c r="D69" s="472" t="s">
        <v>1238</v>
      </c>
      <c r="E69" s="473" t="s">
        <v>960</v>
      </c>
    </row>
    <row r="70" spans="1:5" s="315" customFormat="1">
      <c r="A70" s="508" t="s">
        <v>1295</v>
      </c>
      <c r="B70" s="622">
        <f>B68*B69</f>
        <v>10000</v>
      </c>
      <c r="C70" s="495"/>
      <c r="D70" s="472" t="s">
        <v>1291</v>
      </c>
      <c r="E70" s="473"/>
    </row>
    <row r="71" spans="1:5" s="315" customFormat="1">
      <c r="A71" s="508"/>
      <c r="B71" s="613"/>
      <c r="C71" s="602"/>
      <c r="D71" s="472"/>
      <c r="E71" s="473"/>
    </row>
    <row r="72" spans="1:5" s="315" customFormat="1" ht="75">
      <c r="A72" s="647" t="s">
        <v>1267</v>
      </c>
      <c r="B72" s="619">
        <v>15000</v>
      </c>
      <c r="C72" s="668" t="s">
        <v>1163</v>
      </c>
      <c r="D72" s="472" t="s">
        <v>942</v>
      </c>
      <c r="E72" s="478" t="s">
        <v>962</v>
      </c>
    </row>
    <row r="73" spans="1:5" s="315" customFormat="1">
      <c r="A73" s="508"/>
      <c r="B73" s="502"/>
      <c r="C73" s="602"/>
      <c r="D73" s="602"/>
    </row>
    <row r="74" spans="1:5" ht="45">
      <c r="A74" s="637" t="s">
        <v>13</v>
      </c>
      <c r="B74" s="638"/>
      <c r="C74" s="631"/>
      <c r="D74" s="639" t="s">
        <v>666</v>
      </c>
      <c r="E74" s="640"/>
    </row>
    <row r="75" spans="1:5" s="315" customFormat="1" ht="45">
      <c r="A75" s="648" t="s">
        <v>912</v>
      </c>
      <c r="B75" s="524" t="s">
        <v>654</v>
      </c>
      <c r="C75" s="642"/>
      <c r="D75" s="472" t="s">
        <v>913</v>
      </c>
      <c r="E75" s="478" t="s">
        <v>957</v>
      </c>
    </row>
    <row r="76" spans="1:5" s="315" customFormat="1">
      <c r="A76" s="656"/>
      <c r="B76" s="499"/>
    </row>
    <row r="77" spans="1:5" s="315" customFormat="1" ht="30">
      <c r="A77" s="655" t="s">
        <v>1268</v>
      </c>
      <c r="B77" s="619">
        <v>20000</v>
      </c>
      <c r="C77" s="657" t="s">
        <v>1208</v>
      </c>
      <c r="D77" s="472" t="s">
        <v>1350</v>
      </c>
      <c r="E77" s="478" t="s">
        <v>957</v>
      </c>
    </row>
    <row r="78" spans="1:5" s="315" customFormat="1" ht="45">
      <c r="A78" s="647" t="s">
        <v>1253</v>
      </c>
      <c r="B78" s="619">
        <v>0.5</v>
      </c>
      <c r="C78" s="668" t="s">
        <v>1258</v>
      </c>
      <c r="D78" s="472" t="s">
        <v>1257</v>
      </c>
      <c r="E78" s="478" t="s">
        <v>957</v>
      </c>
    </row>
    <row r="79" spans="1:5" s="315" customFormat="1">
      <c r="A79" s="508" t="s">
        <v>1254</v>
      </c>
      <c r="B79" s="622">
        <f>B77*B78</f>
        <v>10000</v>
      </c>
      <c r="C79" s="636"/>
      <c r="D79" s="472" t="s">
        <v>1255</v>
      </c>
      <c r="E79" s="478"/>
    </row>
    <row r="80" spans="1:5" s="315" customFormat="1">
      <c r="A80" s="508"/>
      <c r="B80" s="613"/>
      <c r="C80" s="627"/>
      <c r="D80" s="472"/>
      <c r="E80" s="478"/>
    </row>
    <row r="81" spans="1:5" s="315" customFormat="1" ht="90">
      <c r="A81" s="647" t="s">
        <v>1216</v>
      </c>
      <c r="B81" s="619">
        <v>700</v>
      </c>
      <c r="C81" s="653" t="s">
        <v>1164</v>
      </c>
      <c r="D81" s="472" t="s">
        <v>668</v>
      </c>
      <c r="E81" s="478" t="s">
        <v>959</v>
      </c>
    </row>
    <row r="82" spans="1:5" s="315" customFormat="1">
      <c r="A82" s="647" t="s">
        <v>1290</v>
      </c>
      <c r="B82" s="669">
        <v>5</v>
      </c>
      <c r="C82" s="670" t="s">
        <v>1319</v>
      </c>
      <c r="D82" s="602"/>
      <c r="E82" s="478"/>
    </row>
    <row r="83" spans="1:5" s="315" customFormat="1" ht="30">
      <c r="A83" s="648" t="s">
        <v>882</v>
      </c>
      <c r="B83" s="681">
        <v>1000</v>
      </c>
      <c r="C83" s="675">
        <f>'Scope of implementation'!C17</f>
        <v>0</v>
      </c>
      <c r="D83" s="472" t="s">
        <v>1324</v>
      </c>
      <c r="E83" s="483"/>
    </row>
    <row r="84" spans="1:5" s="315" customFormat="1" ht="30">
      <c r="A84" s="508" t="s">
        <v>892</v>
      </c>
      <c r="B84" s="622">
        <f>B79+(B81*B82*B83)</f>
        <v>3510000</v>
      </c>
      <c r="C84" s="495"/>
      <c r="D84" s="472" t="s">
        <v>1256</v>
      </c>
    </row>
    <row r="85" spans="1:5" s="315" customFormat="1">
      <c r="B85" s="499"/>
    </row>
  </sheetData>
  <conditionalFormatting sqref="B14 B18 B22 B26 B36 B40 B44 B83">
    <cfRule type="expression" dxfId="48" priority="1">
      <formula>$A$23="enter the number of sites where the DHI will be deployed"</formula>
    </cfRule>
  </conditionalFormatting>
  <dataValidations count="4">
    <dataValidation type="textLength" allowBlank="1" showInputMessage="1" showErrorMessage="1" error="You can only enter Yes or No in this cell." sqref="B12" xr:uid="{F1897384-F8BF-4445-96AC-BBEBB932848F}">
      <formula1>2</formula1>
      <formula2>3</formula2>
    </dataValidation>
    <dataValidation type="whole" allowBlank="1" showInputMessage="1" showErrorMessage="1" error="Entry must be a whole number. " sqref="B82" xr:uid="{69D15AC5-BAA5-0648-B208-73473A4CFA39}">
      <formula1>0</formula1>
      <formula2>10000000</formula2>
    </dataValidation>
    <dataValidation allowBlank="1" sqref="B52 B64 B59" xr:uid="{79B9111C-778B-D143-B916-CEB35F0B9A64}"/>
    <dataValidation type="list" allowBlank="1" showInputMessage="1" showErrorMessage="1" sqref="B75:B76" xr:uid="{D28D35EB-AEA1-AA41-B582-49AB52FC15F5}">
      <formula1>#REF!</formula1>
    </dataValidation>
  </dataValidations>
  <hyperlinks>
    <hyperlink ref="E18" r:id="rId1" xr:uid="{7572C3F3-9A9D-F844-87CC-26B1C172A37C}"/>
    <hyperlink ref="E22" r:id="rId2" xr:uid="{97EBB2B6-4380-664A-8C53-3603E0DE82B4}"/>
    <hyperlink ref="E26" r:id="rId3" xr:uid="{69BA73E3-329C-E140-B369-7D85F15CB641}"/>
    <hyperlink ref="E35" r:id="rId4" xr:uid="{DE5C611E-F31F-434B-824A-388C509337F7}"/>
    <hyperlink ref="E40" r:id="rId5" xr:uid="{AC7500A6-8E08-BD42-86B9-09A2EAB17CF8}"/>
    <hyperlink ref="E44" r:id="rId6" xr:uid="{1FAB2E61-941F-CB43-98D0-A0DE4630A63C}"/>
    <hyperlink ref="E47" r:id="rId7" xr:uid="{2A1EA8E4-67D1-5D48-B08C-BB9928DF8537}"/>
    <hyperlink ref="E52" r:id="rId8" xr:uid="{A262B54C-4A39-A444-932A-4552CA1AB6C9}"/>
    <hyperlink ref="E58" r:id="rId9" xr:uid="{57DF45D6-D928-BF47-93B0-99CA5D70CB2B}"/>
    <hyperlink ref="E63" r:id="rId10" xr:uid="{D7AA9327-62BC-2E4C-A331-BD36F69E2B76}"/>
    <hyperlink ref="E68" r:id="rId11" xr:uid="{793FE200-AEB3-2141-9012-CFD2495CAECC}"/>
    <hyperlink ref="E69" r:id="rId12" xr:uid="{6CAC763F-6BE2-F745-AA51-CD1527FED066}"/>
    <hyperlink ref="E72" r:id="rId13" xr:uid="{BF9C3924-4ADF-134F-9AE8-AF280E32BF2D}"/>
    <hyperlink ref="E75" r:id="rId14" xr:uid="{1C281CE5-E692-4543-AD19-C8C9C44BDA7B}"/>
    <hyperlink ref="E77" r:id="rId15" xr:uid="{8AC7A9C3-85EF-AF48-A2D5-105676BDFDBF}"/>
    <hyperlink ref="E81" r:id="rId16" xr:uid="{3B50D2E3-755E-9A47-8465-F08DA20E03AD}"/>
    <hyperlink ref="E25" r:id="rId17" xr:uid="{DFAC1579-5E83-CC49-877E-0AF52BDE4DB2}"/>
    <hyperlink ref="E43" r:id="rId18" xr:uid="{59B2948F-AF1F-BA4C-956B-A7A51CF1A832}"/>
    <hyperlink ref="E78" r:id="rId19" xr:uid="{08D749D6-244E-EC4E-8786-A5EDB0E7DAA9}"/>
    <hyperlink ref="C51" location="'Salary input data '!A4" display="See Salary input data tab " xr:uid="{60901035-9438-D041-83CA-27326B92DA32}"/>
    <hyperlink ref="C58" location="'Salary input data '!A4" display="See Salary input data tab " xr:uid="{A3E2B60E-1A71-714B-9A75-D2BBA8203FC4}"/>
    <hyperlink ref="C63" location="'Salary input data '!A4" display="See Salary input data tab " xr:uid="{A30306AC-4819-144E-9A01-9F5F64025B08}"/>
    <hyperlink ref="C68" location="'Salary input data '!A4" display="See Salary input data tab " xr:uid="{25BEB2FC-F58C-024E-88EB-A89E49FC5544}"/>
    <hyperlink ref="C77" location="'Salary input data '!A4" display="See Salary input data tab " xr:uid="{368595BF-6581-7746-AFFC-41EC8038181A}"/>
  </hyperlinks>
  <pageMargins left="0.7" right="0.7" top="0.75" bottom="0.75" header="0.3" footer="0.3"/>
  <drawing r:id="rId20"/>
  <extLst>
    <ext xmlns:x14="http://schemas.microsoft.com/office/spreadsheetml/2009/9/main" uri="{CCE6A557-97BC-4b89-ADB6-D9C93CAAB3DF}">
      <x14:dataValidations xmlns:xm="http://schemas.microsoft.com/office/excel/2006/main" count="1">
        <x14:dataValidation type="list" allowBlank="1" showInputMessage="1" showErrorMessage="1" error="You can only enter Yes or No in this cell." xr:uid="{B83D5D7B-0ADF-2040-B9BE-9CDAC4F08A70}">
          <x14:formula1>
            <xm:f>'Value lists'!$A$1:$A$2</xm:f>
          </x14:formula1>
          <xm:sqref>B33 B11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AD48F-A7B9-4635-A834-FEF019269497}">
  <sheetPr codeName="Sheet23">
    <tabColor theme="5"/>
  </sheetPr>
  <dimension ref="A1:K166"/>
  <sheetViews>
    <sheetView zoomScale="110" zoomScaleNormal="110" workbookViewId="0">
      <selection activeCell="K6" sqref="K6:K7"/>
    </sheetView>
  </sheetViews>
  <sheetFormatPr defaultColWidth="8.5703125" defaultRowHeight="15"/>
  <cols>
    <col min="1" max="1" width="27.42578125" style="315" bestFit="1" customWidth="1"/>
    <col min="2" max="2" width="25.42578125" style="315" bestFit="1" customWidth="1"/>
    <col min="3" max="3" width="27" style="315" bestFit="1" customWidth="1"/>
    <col min="4" max="10" width="0" style="315" hidden="1" customWidth="1"/>
    <col min="11" max="11" width="16.5703125" style="315" customWidth="1"/>
    <col min="12" max="16384" width="8.5703125" style="315"/>
  </cols>
  <sheetData>
    <row r="1" spans="1:11">
      <c r="D1" s="475" t="s">
        <v>1209</v>
      </c>
    </row>
    <row r="2" spans="1:11">
      <c r="A2" t="s">
        <v>265</v>
      </c>
      <c r="B2" t="s">
        <v>694</v>
      </c>
      <c r="C2" t="s">
        <v>997</v>
      </c>
      <c r="D2" t="s">
        <v>1178</v>
      </c>
      <c r="E2" t="s">
        <v>1179</v>
      </c>
      <c r="F2" t="s">
        <v>1180</v>
      </c>
      <c r="G2" t="s">
        <v>1181</v>
      </c>
      <c r="H2" t="s">
        <v>1182</v>
      </c>
      <c r="I2" t="s">
        <v>1183</v>
      </c>
      <c r="J2" t="s">
        <v>1184</v>
      </c>
      <c r="K2" t="s">
        <v>1185</v>
      </c>
    </row>
    <row r="3" spans="1:11">
      <c r="A3" s="514" t="s">
        <v>695</v>
      </c>
      <c r="B3" s="514">
        <v>2</v>
      </c>
      <c r="C3" s="514" t="s">
        <v>998</v>
      </c>
      <c r="D3" s="517">
        <v>37861</v>
      </c>
      <c r="E3" s="517">
        <v>45865</v>
      </c>
      <c r="F3" s="517">
        <v>54609</v>
      </c>
      <c r="G3" s="517">
        <v>62209</v>
      </c>
      <c r="H3" s="517">
        <v>75552</v>
      </c>
      <c r="I3" s="517">
        <v>91448</v>
      </c>
      <c r="J3" s="517">
        <v>110396</v>
      </c>
      <c r="K3" s="515">
        <v>42.7</v>
      </c>
    </row>
    <row r="4" spans="1:11">
      <c r="A4" s="514" t="s">
        <v>696</v>
      </c>
      <c r="B4" s="514">
        <v>3</v>
      </c>
      <c r="C4" s="514" t="s">
        <v>999</v>
      </c>
      <c r="D4" s="517">
        <v>23712.57</v>
      </c>
      <c r="E4" s="517">
        <v>26784.870000000003</v>
      </c>
      <c r="F4" s="517">
        <v>30546.11</v>
      </c>
      <c r="G4" s="517">
        <v>41317.780000000006</v>
      </c>
      <c r="H4" s="517">
        <v>50162.280000000006</v>
      </c>
      <c r="I4" s="517">
        <v>64024.87</v>
      </c>
      <c r="J4" s="517">
        <v>81909.38</v>
      </c>
      <c r="K4" s="514">
        <v>23.8</v>
      </c>
    </row>
    <row r="5" spans="1:11">
      <c r="A5" s="514" t="s">
        <v>697</v>
      </c>
      <c r="B5" s="514">
        <v>3</v>
      </c>
      <c r="C5" s="514" t="s">
        <v>1036</v>
      </c>
      <c r="D5" s="517">
        <v>16768.023705</v>
      </c>
      <c r="E5" s="517">
        <v>20272.959900000002</v>
      </c>
      <c r="F5" s="517">
        <v>24506.386020000002</v>
      </c>
      <c r="G5" s="517">
        <v>34914.558780000007</v>
      </c>
      <c r="H5" s="517">
        <v>44967.264450000002</v>
      </c>
      <c r="I5" s="517">
        <v>59364.319725000001</v>
      </c>
      <c r="J5" s="517">
        <v>78454.412460000007</v>
      </c>
      <c r="K5" s="514">
        <v>34.200000000000003</v>
      </c>
    </row>
    <row r="6" spans="1:11">
      <c r="A6" s="514" t="s">
        <v>698</v>
      </c>
      <c r="B6" s="514">
        <v>3</v>
      </c>
      <c r="C6" s="514" t="s">
        <v>1033</v>
      </c>
      <c r="D6" s="517"/>
      <c r="E6" s="517"/>
      <c r="F6" s="517"/>
      <c r="G6" s="517"/>
      <c r="H6" s="517"/>
      <c r="I6" s="517"/>
      <c r="J6" s="517"/>
      <c r="K6" s="514"/>
    </row>
    <row r="7" spans="1:11">
      <c r="A7" s="514" t="s">
        <v>699</v>
      </c>
      <c r="B7" s="514">
        <v>1</v>
      </c>
      <c r="C7" s="514" t="s">
        <v>1034</v>
      </c>
      <c r="D7" s="517">
        <v>58911</v>
      </c>
      <c r="E7" s="517">
        <v>72045</v>
      </c>
      <c r="F7" s="517">
        <v>88694</v>
      </c>
      <c r="G7" s="517">
        <v>125739</v>
      </c>
      <c r="H7" s="517">
        <v>157661</v>
      </c>
      <c r="I7" s="517">
        <v>202187</v>
      </c>
      <c r="J7" s="517">
        <v>258733</v>
      </c>
      <c r="K7" s="514">
        <v>47.7</v>
      </c>
    </row>
    <row r="8" spans="1:11">
      <c r="A8" s="514" t="s">
        <v>700</v>
      </c>
      <c r="B8" s="514">
        <v>3</v>
      </c>
      <c r="C8" s="514" t="s">
        <v>1035</v>
      </c>
      <c r="D8" s="517">
        <v>41406.995629999998</v>
      </c>
      <c r="E8" s="517">
        <v>50667.541924999998</v>
      </c>
      <c r="F8" s="517">
        <v>61912.160309999992</v>
      </c>
      <c r="G8" s="517">
        <v>63566.788284999995</v>
      </c>
      <c r="H8" s="517">
        <v>83040.657699999996</v>
      </c>
      <c r="I8" s="517">
        <v>102153.97191999998</v>
      </c>
      <c r="J8" s="517">
        <v>121509.87848999999</v>
      </c>
      <c r="K8" s="514">
        <v>49.7</v>
      </c>
    </row>
    <row r="9" spans="1:11">
      <c r="A9" s="514" t="s">
        <v>701</v>
      </c>
      <c r="B9" s="514">
        <v>3</v>
      </c>
      <c r="C9" s="514" t="s">
        <v>1037</v>
      </c>
      <c r="D9" s="517">
        <v>33341.412819999998</v>
      </c>
      <c r="E9" s="517">
        <v>40857.897440000001</v>
      </c>
      <c r="F9" s="517">
        <v>50022.08812</v>
      </c>
      <c r="G9" s="517">
        <v>56429.235440000004</v>
      </c>
      <c r="H9" s="517">
        <v>75015.424859999999</v>
      </c>
      <c r="I9" s="517">
        <v>101719.5926</v>
      </c>
      <c r="J9" s="517">
        <v>137502.96952000001</v>
      </c>
      <c r="K9" s="514">
        <v>35.9</v>
      </c>
    </row>
    <row r="10" spans="1:11">
      <c r="A10" s="514" t="s">
        <v>702</v>
      </c>
      <c r="B10" s="514">
        <v>3</v>
      </c>
      <c r="C10" s="514" t="s">
        <v>1038</v>
      </c>
      <c r="D10" s="517">
        <v>20872.460000000003</v>
      </c>
      <c r="E10" s="517">
        <v>25703.86</v>
      </c>
      <c r="F10" s="517">
        <v>31586.800000000003</v>
      </c>
      <c r="G10" s="517">
        <v>38807.51</v>
      </c>
      <c r="H10" s="517">
        <v>48316.030000000006</v>
      </c>
      <c r="I10" s="517">
        <v>60069.73</v>
      </c>
      <c r="J10" s="517">
        <v>74888.73000000001</v>
      </c>
      <c r="K10" s="514">
        <v>28.5</v>
      </c>
    </row>
    <row r="11" spans="1:11">
      <c r="A11" s="514" t="s">
        <v>703</v>
      </c>
      <c r="B11" s="514">
        <v>3</v>
      </c>
      <c r="C11" s="514" t="s">
        <v>1039</v>
      </c>
      <c r="D11" s="517"/>
      <c r="E11" s="517"/>
      <c r="F11" s="517"/>
      <c r="G11" s="517"/>
      <c r="H11" s="517"/>
      <c r="I11" s="517"/>
      <c r="J11" s="517"/>
      <c r="K11" s="514">
        <v>50.1</v>
      </c>
    </row>
    <row r="12" spans="1:11">
      <c r="A12" s="514" t="s">
        <v>704</v>
      </c>
      <c r="B12" s="514">
        <v>3</v>
      </c>
      <c r="C12" s="514" t="s">
        <v>1040</v>
      </c>
      <c r="D12" s="517">
        <v>30772.664220000002</v>
      </c>
      <c r="E12" s="517">
        <v>37137.312819999999</v>
      </c>
      <c r="F12" s="517">
        <v>44964.889430000003</v>
      </c>
      <c r="G12" s="517">
        <v>49606.612359999999</v>
      </c>
      <c r="H12" s="517">
        <v>62758.258700000006</v>
      </c>
      <c r="I12" s="517">
        <v>81595.147989999998</v>
      </c>
      <c r="J12" s="517">
        <v>106020.81051000001</v>
      </c>
      <c r="K12" s="514">
        <v>30.2</v>
      </c>
    </row>
    <row r="13" spans="1:11">
      <c r="A13" s="514" t="s">
        <v>705</v>
      </c>
      <c r="B13" s="514">
        <v>3</v>
      </c>
      <c r="C13" s="514" t="s">
        <v>1041</v>
      </c>
      <c r="D13" s="517">
        <v>54072</v>
      </c>
      <c r="E13" s="517">
        <v>65578</v>
      </c>
      <c r="F13" s="517">
        <v>79582</v>
      </c>
      <c r="G13" s="517">
        <v>86108.5</v>
      </c>
      <c r="H13" s="517">
        <v>95283.5</v>
      </c>
      <c r="I13" s="517">
        <v>105374</v>
      </c>
      <c r="J13" s="517" t="e">
        <v>#N/A</v>
      </c>
      <c r="K13" s="514">
        <v>70.400000000000006</v>
      </c>
    </row>
    <row r="14" spans="1:11">
      <c r="A14" s="514" t="s">
        <v>706</v>
      </c>
      <c r="B14" s="514">
        <v>3</v>
      </c>
      <c r="C14" s="514" t="s">
        <v>1042</v>
      </c>
      <c r="D14" s="517">
        <v>23862</v>
      </c>
      <c r="E14" s="517">
        <v>28347</v>
      </c>
      <c r="F14" s="517">
        <v>33635</v>
      </c>
      <c r="G14" s="517">
        <v>43601</v>
      </c>
      <c r="H14" s="517">
        <v>53788</v>
      </c>
      <c r="I14" s="517">
        <v>67875</v>
      </c>
      <c r="J14" s="517">
        <v>85910</v>
      </c>
      <c r="K14" s="514">
        <v>33.5</v>
      </c>
    </row>
    <row r="15" spans="1:11">
      <c r="A15" s="514" t="s">
        <v>707</v>
      </c>
      <c r="B15" s="514">
        <v>2</v>
      </c>
      <c r="C15" s="514" t="s">
        <v>1000</v>
      </c>
      <c r="D15" s="517">
        <v>23883.476119999999</v>
      </c>
      <c r="E15" s="517">
        <v>27619.050640000001</v>
      </c>
      <c r="F15" s="517">
        <v>31911.049360000001</v>
      </c>
      <c r="G15" s="517">
        <v>44818.632920000004</v>
      </c>
      <c r="H15" s="517">
        <v>51937.460959999997</v>
      </c>
      <c r="I15" s="517">
        <v>60252.722520000003</v>
      </c>
      <c r="J15" s="517">
        <v>70347.083639999997</v>
      </c>
      <c r="K15" s="514">
        <v>30.1</v>
      </c>
    </row>
    <row r="16" spans="1:11">
      <c r="A16" s="514" t="s">
        <v>708</v>
      </c>
      <c r="B16" s="514">
        <v>3</v>
      </c>
      <c r="C16" s="514" t="s">
        <v>1043</v>
      </c>
      <c r="D16" s="517">
        <v>21990.895</v>
      </c>
      <c r="E16" s="517">
        <v>27966.314999999999</v>
      </c>
      <c r="F16" s="517">
        <v>34909.67</v>
      </c>
      <c r="G16" s="517">
        <v>41566.71</v>
      </c>
      <c r="H16" s="517">
        <v>53967.35</v>
      </c>
      <c r="I16" s="517">
        <v>69516.59</v>
      </c>
      <c r="J16" s="517">
        <v>76914.069999999992</v>
      </c>
      <c r="K16" s="514">
        <v>44.1</v>
      </c>
    </row>
    <row r="17" spans="1:11">
      <c r="A17" s="514" t="s">
        <v>709</v>
      </c>
      <c r="B17" s="514">
        <v>3</v>
      </c>
      <c r="C17" s="514" t="s">
        <v>1044</v>
      </c>
      <c r="D17" s="517">
        <v>11183.81869</v>
      </c>
      <c r="E17" s="517">
        <v>13196.905920000001</v>
      </c>
      <c r="F17" s="517">
        <v>15308.40201</v>
      </c>
      <c r="G17" s="517">
        <v>16290.605099999999</v>
      </c>
      <c r="H17" s="517">
        <v>18416.507559999998</v>
      </c>
      <c r="I17" s="517">
        <v>21321.226299999998</v>
      </c>
      <c r="J17" s="517">
        <v>24661.625339999999</v>
      </c>
      <c r="K17" s="514">
        <v>32.9</v>
      </c>
    </row>
    <row r="18" spans="1:11">
      <c r="A18" s="514" t="s">
        <v>710</v>
      </c>
      <c r="B18" s="514">
        <v>3</v>
      </c>
      <c r="C18" s="514" t="s">
        <v>1001</v>
      </c>
      <c r="D18" s="517">
        <v>34234.608240000001</v>
      </c>
      <c r="E18" s="517">
        <v>42142.922710000006</v>
      </c>
      <c r="F18" s="517">
        <v>55086.720360000007</v>
      </c>
      <c r="G18" s="517">
        <v>79637.42416000001</v>
      </c>
      <c r="H18" s="517">
        <v>100070.92655</v>
      </c>
      <c r="I18" s="517">
        <v>125407.63767000001</v>
      </c>
      <c r="J18" s="517">
        <v>156825.43674</v>
      </c>
      <c r="K18" s="514">
        <v>26.6</v>
      </c>
    </row>
    <row r="19" spans="1:11">
      <c r="A19" s="514" t="s">
        <v>711</v>
      </c>
      <c r="B19" s="514">
        <v>3</v>
      </c>
      <c r="C19" s="514" t="s">
        <v>1002</v>
      </c>
      <c r="D19" s="517">
        <v>34546.017339999999</v>
      </c>
      <c r="E19" s="517">
        <v>38814.910609999999</v>
      </c>
      <c r="F19" s="517">
        <v>43758.327230000003</v>
      </c>
      <c r="G19" s="517">
        <v>49835.985260000001</v>
      </c>
      <c r="H19" s="517">
        <v>56146.976260000003</v>
      </c>
      <c r="I19" s="517">
        <v>63406.93187</v>
      </c>
      <c r="J19" s="517">
        <v>71893.767290000003</v>
      </c>
      <c r="K19" s="514">
        <v>25.4</v>
      </c>
    </row>
    <row r="20" spans="1:11">
      <c r="A20" s="514" t="s">
        <v>712</v>
      </c>
      <c r="B20" s="514">
        <v>3</v>
      </c>
      <c r="C20" s="514" t="s">
        <v>1003</v>
      </c>
      <c r="D20" s="517">
        <v>24959.345840000002</v>
      </c>
      <c r="E20" s="517">
        <v>31685.65972</v>
      </c>
      <c r="F20" s="517">
        <v>39009.481939999998</v>
      </c>
      <c r="G20" s="517">
        <v>48906.251680000001</v>
      </c>
      <c r="H20" s="517">
        <v>61450.63639</v>
      </c>
      <c r="I20" s="517">
        <v>79220.8989</v>
      </c>
      <c r="J20" s="517">
        <v>101945.19907</v>
      </c>
      <c r="K20" s="514">
        <v>27.1</v>
      </c>
    </row>
    <row r="21" spans="1:11">
      <c r="A21" s="514" t="s">
        <v>713</v>
      </c>
      <c r="B21" s="514">
        <v>3</v>
      </c>
      <c r="C21" s="514" t="s">
        <v>1045</v>
      </c>
      <c r="D21" s="517">
        <v>38933.929650000005</v>
      </c>
      <c r="E21" s="517">
        <v>47274.011400000003</v>
      </c>
      <c r="F21" s="517">
        <v>57387.838199999998</v>
      </c>
      <c r="G21" s="517">
        <v>59055.323250000001</v>
      </c>
      <c r="H21" s="517">
        <v>76115.631900000008</v>
      </c>
      <c r="I21" s="517">
        <v>96989.877600000007</v>
      </c>
      <c r="J21" s="517">
        <v>123290.99859999999</v>
      </c>
      <c r="K21" s="514">
        <v>27.5</v>
      </c>
    </row>
    <row r="22" spans="1:11">
      <c r="A22" s="514" t="s">
        <v>714</v>
      </c>
      <c r="B22" s="514">
        <v>3</v>
      </c>
      <c r="C22" s="514" t="s">
        <v>1033</v>
      </c>
      <c r="D22" s="517">
        <v>42153</v>
      </c>
      <c r="E22" s="517">
        <v>51573</v>
      </c>
      <c r="F22" s="517">
        <v>63037</v>
      </c>
      <c r="G22" s="517">
        <v>63567</v>
      </c>
      <c r="H22" s="517">
        <v>83041</v>
      </c>
      <c r="I22" s="517">
        <v>102154.5</v>
      </c>
      <c r="J22" s="517">
        <v>121510</v>
      </c>
      <c r="K22" s="514">
        <v>49.6</v>
      </c>
    </row>
    <row r="23" spans="1:11">
      <c r="A23" s="514" t="s">
        <v>715</v>
      </c>
      <c r="B23" s="514">
        <v>3</v>
      </c>
      <c r="C23" s="514" t="s">
        <v>1046</v>
      </c>
      <c r="D23" s="517">
        <v>19771.929510000002</v>
      </c>
      <c r="E23" s="517">
        <v>23508.730970000001</v>
      </c>
      <c r="F23" s="517">
        <v>27928.161639999998</v>
      </c>
      <c r="G23" s="517">
        <v>45373.130340000003</v>
      </c>
      <c r="H23" s="517">
        <v>55948.96168</v>
      </c>
      <c r="I23" s="517">
        <v>69100.719530000002</v>
      </c>
      <c r="J23" s="517">
        <v>83862.069579999996</v>
      </c>
      <c r="K23" s="514">
        <v>21.7</v>
      </c>
    </row>
    <row r="24" spans="1:11">
      <c r="A24" s="514" t="s">
        <v>716</v>
      </c>
      <c r="B24" s="514">
        <v>1</v>
      </c>
      <c r="C24" s="514" t="s">
        <v>1043</v>
      </c>
      <c r="D24" s="517">
        <v>31571.635000000002</v>
      </c>
      <c r="E24" s="517">
        <v>39073.78</v>
      </c>
      <c r="F24" s="517">
        <v>46542.19</v>
      </c>
      <c r="G24" s="517">
        <v>47694.37</v>
      </c>
      <c r="H24" s="517">
        <v>58281.97</v>
      </c>
      <c r="I24" s="517">
        <v>71210.259999999995</v>
      </c>
      <c r="J24" s="517">
        <v>91615.61</v>
      </c>
      <c r="K24" s="514">
        <v>36</v>
      </c>
    </row>
    <row r="25" spans="1:11">
      <c r="A25" s="514" t="s">
        <v>717</v>
      </c>
      <c r="B25" s="514">
        <v>1</v>
      </c>
      <c r="C25" s="514" t="s">
        <v>1047</v>
      </c>
      <c r="D25" s="517">
        <v>18866.47</v>
      </c>
      <c r="E25" s="517">
        <v>25351.129999999997</v>
      </c>
      <c r="F25" s="517">
        <v>31375.68</v>
      </c>
      <c r="G25" s="517">
        <v>30525.53</v>
      </c>
      <c r="H25" s="517">
        <v>33674.269999999997</v>
      </c>
      <c r="I25" s="517">
        <v>37247.839999999997</v>
      </c>
      <c r="J25" s="517">
        <v>41203.61</v>
      </c>
      <c r="K25" s="514">
        <v>41.6</v>
      </c>
    </row>
    <row r="26" spans="1:11">
      <c r="A26" s="514" t="s">
        <v>718</v>
      </c>
      <c r="B26" s="514">
        <v>3</v>
      </c>
      <c r="C26" s="514" t="s">
        <v>1048</v>
      </c>
      <c r="D26" s="517"/>
      <c r="E26" s="517"/>
      <c r="F26" s="517"/>
      <c r="G26" s="517"/>
      <c r="H26" s="517"/>
      <c r="I26" s="517"/>
      <c r="J26" s="517"/>
      <c r="K26" s="514">
        <v>28.6</v>
      </c>
    </row>
    <row r="27" spans="1:11">
      <c r="A27" s="514" t="s">
        <v>719</v>
      </c>
      <c r="B27" s="514">
        <v>2</v>
      </c>
      <c r="C27" s="514" t="s">
        <v>1004</v>
      </c>
      <c r="D27" s="517"/>
      <c r="E27" s="517"/>
      <c r="F27" s="517"/>
      <c r="G27" s="517"/>
      <c r="H27" s="517"/>
      <c r="I27" s="517"/>
      <c r="J27" s="517"/>
      <c r="K27" s="514">
        <v>37.5</v>
      </c>
    </row>
    <row r="28" spans="1:11">
      <c r="A28" s="514" t="s">
        <v>720</v>
      </c>
      <c r="B28" s="514">
        <v>2</v>
      </c>
      <c r="C28" s="514" t="s">
        <v>1043</v>
      </c>
      <c r="D28" s="517"/>
      <c r="E28" s="517"/>
      <c r="F28" s="517"/>
      <c r="G28" s="517"/>
      <c r="H28" s="517"/>
      <c r="I28" s="517"/>
      <c r="J28" s="517"/>
      <c r="K28" s="514">
        <v>35.1</v>
      </c>
    </row>
    <row r="29" spans="1:11">
      <c r="A29" s="514" t="s">
        <v>721</v>
      </c>
      <c r="B29" s="514">
        <v>3</v>
      </c>
      <c r="C29" s="514" t="s">
        <v>1005</v>
      </c>
      <c r="D29" s="517"/>
      <c r="E29" s="517"/>
      <c r="F29" s="517"/>
      <c r="G29" s="517"/>
      <c r="H29" s="517"/>
      <c r="I29" s="517"/>
      <c r="J29" s="517"/>
      <c r="K29" s="514">
        <v>45.1</v>
      </c>
    </row>
    <row r="30" spans="1:11">
      <c r="A30" s="514" t="s">
        <v>722</v>
      </c>
      <c r="B30" s="514">
        <v>2</v>
      </c>
      <c r="C30" s="514" t="s">
        <v>1043</v>
      </c>
      <c r="D30" s="517"/>
      <c r="E30" s="517"/>
      <c r="F30" s="517"/>
      <c r="G30" s="517"/>
      <c r="H30" s="517"/>
      <c r="I30" s="517"/>
      <c r="J30" s="517"/>
      <c r="K30" s="514">
        <v>63.7</v>
      </c>
    </row>
    <row r="31" spans="1:11">
      <c r="A31" s="514" t="s">
        <v>723</v>
      </c>
      <c r="B31" s="514">
        <v>1</v>
      </c>
      <c r="C31" s="514" t="s">
        <v>1043</v>
      </c>
      <c r="D31" s="517"/>
      <c r="E31" s="517"/>
      <c r="F31" s="517"/>
      <c r="G31" s="517"/>
      <c r="H31" s="517"/>
      <c r="I31" s="517"/>
      <c r="J31" s="517"/>
      <c r="K31" s="514">
        <v>57.2</v>
      </c>
    </row>
    <row r="32" spans="1:11">
      <c r="A32" s="514" t="s">
        <v>724</v>
      </c>
      <c r="B32" s="514">
        <v>3</v>
      </c>
      <c r="C32" s="514" t="s">
        <v>1049</v>
      </c>
      <c r="D32" s="517"/>
      <c r="E32" s="517"/>
      <c r="F32" s="517"/>
      <c r="G32" s="517"/>
      <c r="H32" s="517"/>
      <c r="I32" s="517"/>
      <c r="J32" s="517"/>
      <c r="K32" s="514">
        <v>39.9</v>
      </c>
    </row>
    <row r="33" spans="1:11">
      <c r="A33" s="514" t="s">
        <v>725</v>
      </c>
      <c r="B33" s="514">
        <v>3</v>
      </c>
      <c r="C33" s="514" t="s">
        <v>1006</v>
      </c>
      <c r="D33" s="517"/>
      <c r="E33" s="517"/>
      <c r="F33" s="517"/>
      <c r="G33" s="517"/>
      <c r="H33" s="517"/>
      <c r="I33" s="517"/>
      <c r="J33" s="517"/>
      <c r="K33" s="514">
        <v>67.8</v>
      </c>
    </row>
    <row r="34" spans="1:11">
      <c r="A34" s="514" t="s">
        <v>726</v>
      </c>
      <c r="B34" s="514">
        <v>3</v>
      </c>
      <c r="C34" s="514" t="s">
        <v>1050</v>
      </c>
      <c r="D34" s="517"/>
      <c r="E34" s="517"/>
      <c r="F34" s="517"/>
      <c r="G34" s="517"/>
      <c r="H34" s="517"/>
      <c r="I34" s="517"/>
      <c r="J34" s="517"/>
      <c r="K34" s="514">
        <v>27.7</v>
      </c>
    </row>
    <row r="35" spans="1:11">
      <c r="A35" s="514" t="s">
        <v>727</v>
      </c>
      <c r="B35" s="514">
        <v>2</v>
      </c>
      <c r="C35" s="514" t="s">
        <v>1051</v>
      </c>
      <c r="D35" s="517"/>
      <c r="E35" s="517"/>
      <c r="F35" s="517"/>
      <c r="G35" s="517"/>
      <c r="H35" s="517"/>
      <c r="I35" s="517"/>
      <c r="J35" s="517"/>
      <c r="K35" s="514">
        <v>47.8</v>
      </c>
    </row>
    <row r="36" spans="1:11">
      <c r="A36" s="514" t="s">
        <v>728</v>
      </c>
      <c r="B36" s="514">
        <v>2</v>
      </c>
      <c r="C36" s="514" t="s">
        <v>1052</v>
      </c>
      <c r="D36" s="517"/>
      <c r="E36" s="517"/>
      <c r="F36" s="517"/>
      <c r="G36" s="517"/>
      <c r="H36" s="517"/>
      <c r="I36" s="517"/>
      <c r="J36" s="517"/>
      <c r="K36" s="514">
        <v>53</v>
      </c>
    </row>
    <row r="37" spans="1:11">
      <c r="A37" s="514" t="s">
        <v>729</v>
      </c>
      <c r="B37" s="514">
        <v>2</v>
      </c>
      <c r="C37" s="514" t="s">
        <v>1043</v>
      </c>
      <c r="D37" s="517"/>
      <c r="E37" s="517"/>
      <c r="F37" s="517"/>
      <c r="G37" s="517"/>
      <c r="H37" s="517"/>
      <c r="I37" s="517"/>
      <c r="J37" s="517"/>
      <c r="K37" s="514">
        <v>65</v>
      </c>
    </row>
    <row r="38" spans="1:11">
      <c r="A38" s="514" t="s">
        <v>730</v>
      </c>
      <c r="B38" s="514">
        <v>3</v>
      </c>
      <c r="C38" s="514" t="s">
        <v>1053</v>
      </c>
      <c r="D38" s="517"/>
      <c r="E38" s="517"/>
      <c r="F38" s="517"/>
      <c r="G38" s="517"/>
      <c r="H38" s="517"/>
      <c r="I38" s="517"/>
      <c r="J38" s="517"/>
      <c r="K38" s="514">
        <v>33.5</v>
      </c>
    </row>
    <row r="39" spans="1:11">
      <c r="A39" s="514" t="s">
        <v>731</v>
      </c>
      <c r="B39" s="514">
        <v>2</v>
      </c>
      <c r="C39" s="514" t="s">
        <v>1043</v>
      </c>
      <c r="D39" s="517"/>
      <c r="E39" s="517"/>
      <c r="F39" s="517"/>
      <c r="G39" s="517"/>
      <c r="H39" s="517"/>
      <c r="I39" s="517"/>
      <c r="J39" s="517"/>
      <c r="K39" s="514">
        <v>43.6</v>
      </c>
    </row>
    <row r="40" spans="1:11">
      <c r="A40" s="514" t="s">
        <v>732</v>
      </c>
      <c r="B40" s="514">
        <v>3</v>
      </c>
      <c r="C40" s="514" t="s">
        <v>1054</v>
      </c>
      <c r="D40" s="517"/>
      <c r="E40" s="517"/>
      <c r="F40" s="517"/>
      <c r="G40" s="517"/>
      <c r="H40" s="517"/>
      <c r="I40" s="517"/>
      <c r="J40" s="517"/>
      <c r="K40" s="514">
        <v>45.7</v>
      </c>
    </row>
    <row r="41" spans="1:11">
      <c r="A41" s="514" t="s">
        <v>733</v>
      </c>
      <c r="B41" s="514">
        <v>3</v>
      </c>
      <c r="C41" s="514" t="s">
        <v>1055</v>
      </c>
      <c r="D41" s="517"/>
      <c r="E41" s="517"/>
      <c r="F41" s="517"/>
      <c r="G41" s="517"/>
      <c r="H41" s="517"/>
      <c r="I41" s="517"/>
      <c r="J41" s="517"/>
      <c r="K41" s="514">
        <v>56.9</v>
      </c>
    </row>
    <row r="42" spans="1:11">
      <c r="A42" s="514" t="s">
        <v>734</v>
      </c>
      <c r="B42" s="514">
        <v>3</v>
      </c>
      <c r="C42" s="514" t="s">
        <v>1056</v>
      </c>
      <c r="D42" s="517"/>
      <c r="E42" s="517"/>
      <c r="F42" s="517"/>
      <c r="G42" s="517"/>
      <c r="H42" s="517"/>
      <c r="I42" s="517"/>
      <c r="J42" s="517"/>
      <c r="K42" s="514"/>
    </row>
    <row r="43" spans="1:11">
      <c r="A43" s="514" t="s">
        <v>735</v>
      </c>
      <c r="B43" s="514">
        <v>3</v>
      </c>
      <c r="C43" s="514" t="s">
        <v>1057</v>
      </c>
      <c r="D43" s="517"/>
      <c r="E43" s="517"/>
      <c r="F43" s="517"/>
      <c r="G43" s="517"/>
      <c r="H43" s="517"/>
      <c r="I43" s="517"/>
      <c r="J43" s="517"/>
      <c r="K43" s="514">
        <v>49.9</v>
      </c>
    </row>
    <row r="44" spans="1:11">
      <c r="A44" s="514" t="s">
        <v>736</v>
      </c>
      <c r="B44" s="514">
        <v>3</v>
      </c>
      <c r="C44" s="514" t="s">
        <v>1035</v>
      </c>
      <c r="D44" s="517"/>
      <c r="E44" s="517"/>
      <c r="F44" s="517"/>
      <c r="G44" s="517"/>
      <c r="H44" s="517"/>
      <c r="I44" s="517"/>
      <c r="J44" s="517"/>
      <c r="K44" s="514">
        <v>49.7</v>
      </c>
    </row>
    <row r="45" spans="1:11">
      <c r="A45" s="514" t="s">
        <v>737</v>
      </c>
      <c r="B45" s="514">
        <v>3</v>
      </c>
      <c r="C45" s="514" t="s">
        <v>1058</v>
      </c>
      <c r="D45" s="517"/>
      <c r="E45" s="517"/>
      <c r="F45" s="517"/>
      <c r="G45" s="517"/>
      <c r="H45" s="517"/>
      <c r="I45" s="517"/>
      <c r="J45" s="517"/>
      <c r="K45" s="514">
        <v>28.8</v>
      </c>
    </row>
    <row r="46" spans="1:11">
      <c r="A46" s="514" t="s">
        <v>738</v>
      </c>
      <c r="B46" s="514">
        <v>3</v>
      </c>
      <c r="C46" s="514" t="s">
        <v>1033</v>
      </c>
      <c r="D46" s="517"/>
      <c r="E46" s="517"/>
      <c r="F46" s="517"/>
      <c r="G46" s="517"/>
      <c r="H46" s="517"/>
      <c r="I46" s="517"/>
      <c r="J46" s="517"/>
      <c r="K46" s="514">
        <v>33.9</v>
      </c>
    </row>
    <row r="47" spans="1:11">
      <c r="A47" s="514" t="s">
        <v>739</v>
      </c>
      <c r="B47" s="514">
        <v>3</v>
      </c>
      <c r="C47" s="514" t="s">
        <v>1059</v>
      </c>
      <c r="D47" s="517"/>
      <c r="E47" s="517"/>
      <c r="F47" s="517"/>
      <c r="G47" s="517"/>
      <c r="H47" s="517"/>
      <c r="I47" s="517"/>
      <c r="J47" s="517"/>
      <c r="K47" s="514">
        <v>30.6</v>
      </c>
    </row>
    <row r="48" spans="1:11">
      <c r="A48" s="514" t="s">
        <v>740</v>
      </c>
      <c r="B48" s="514">
        <v>3</v>
      </c>
      <c r="C48" s="514" t="s">
        <v>1033</v>
      </c>
      <c r="D48" s="517"/>
      <c r="E48" s="517"/>
      <c r="F48" s="517"/>
      <c r="G48" s="517"/>
      <c r="H48" s="517"/>
      <c r="I48" s="517"/>
      <c r="J48" s="517"/>
      <c r="K48" s="514">
        <v>26.3</v>
      </c>
    </row>
    <row r="49" spans="1:11">
      <c r="A49" s="514" t="s">
        <v>741</v>
      </c>
      <c r="B49" s="514">
        <v>3</v>
      </c>
      <c r="C49" s="514" t="s">
        <v>1043</v>
      </c>
      <c r="D49" s="517"/>
      <c r="E49" s="517"/>
      <c r="F49" s="517"/>
      <c r="G49" s="517"/>
      <c r="H49" s="517"/>
      <c r="I49" s="517"/>
      <c r="J49" s="517"/>
      <c r="K49" s="514">
        <v>39.4</v>
      </c>
    </row>
    <row r="50" spans="1:11">
      <c r="A50" s="514" t="s">
        <v>742</v>
      </c>
      <c r="B50" s="514">
        <v>2</v>
      </c>
      <c r="C50" s="514" t="s">
        <v>1060</v>
      </c>
      <c r="D50" s="517"/>
      <c r="E50" s="517"/>
      <c r="F50" s="517"/>
      <c r="G50" s="517"/>
      <c r="H50" s="517"/>
      <c r="I50" s="517"/>
      <c r="J50" s="517"/>
      <c r="K50" s="514">
        <v>52</v>
      </c>
    </row>
    <row r="51" spans="1:11">
      <c r="A51" s="514" t="s">
        <v>743</v>
      </c>
      <c r="B51" s="514">
        <v>2</v>
      </c>
      <c r="C51" s="514" t="s">
        <v>1061</v>
      </c>
      <c r="D51" s="517"/>
      <c r="E51" s="517"/>
      <c r="F51" s="517"/>
      <c r="G51" s="517"/>
      <c r="H51" s="517"/>
      <c r="I51" s="517"/>
      <c r="J51" s="517"/>
      <c r="K51" s="514">
        <v>18.7</v>
      </c>
    </row>
    <row r="52" spans="1:11">
      <c r="A52" s="514" t="s">
        <v>54</v>
      </c>
      <c r="B52" s="514">
        <v>3</v>
      </c>
      <c r="C52" s="514" t="s">
        <v>1062</v>
      </c>
      <c r="D52" s="517"/>
      <c r="E52" s="517"/>
      <c r="F52" s="517"/>
      <c r="G52" s="517"/>
      <c r="H52" s="517"/>
      <c r="I52" s="517"/>
      <c r="J52" s="517"/>
      <c r="K52" s="514">
        <v>40.6</v>
      </c>
    </row>
    <row r="53" spans="1:11">
      <c r="A53" s="514" t="s">
        <v>744</v>
      </c>
      <c r="B53" s="514">
        <v>3</v>
      </c>
      <c r="C53" s="514" t="s">
        <v>1007</v>
      </c>
      <c r="D53" s="517"/>
      <c r="E53" s="517"/>
      <c r="F53" s="517"/>
      <c r="G53" s="517"/>
      <c r="H53" s="517"/>
      <c r="I53" s="517"/>
      <c r="J53" s="517"/>
      <c r="K53" s="514">
        <v>38.9</v>
      </c>
    </row>
    <row r="54" spans="1:11">
      <c r="A54" s="514" t="s">
        <v>745</v>
      </c>
      <c r="B54" s="514">
        <v>2</v>
      </c>
      <c r="C54" s="514" t="s">
        <v>1043</v>
      </c>
      <c r="D54" s="517"/>
      <c r="E54" s="517"/>
      <c r="F54" s="517"/>
      <c r="G54" s="517"/>
      <c r="H54" s="517"/>
      <c r="I54" s="517"/>
      <c r="J54" s="517"/>
      <c r="K54" s="514">
        <v>62.5</v>
      </c>
    </row>
    <row r="55" spans="1:11">
      <c r="A55" s="514" t="s">
        <v>746</v>
      </c>
      <c r="B55" s="514">
        <v>2</v>
      </c>
      <c r="C55" s="514" t="s">
        <v>1063</v>
      </c>
      <c r="D55" s="517"/>
      <c r="E55" s="517"/>
      <c r="F55" s="517"/>
      <c r="G55" s="517"/>
      <c r="H55" s="517"/>
      <c r="I55" s="517"/>
      <c r="J55" s="517"/>
      <c r="K55" s="514">
        <v>36.9</v>
      </c>
    </row>
    <row r="56" spans="1:11">
      <c r="A56" s="514" t="s">
        <v>747</v>
      </c>
      <c r="B56" s="514">
        <v>3</v>
      </c>
      <c r="C56" s="514" t="s">
        <v>1064</v>
      </c>
      <c r="D56" s="517"/>
      <c r="E56" s="517"/>
      <c r="F56" s="517"/>
      <c r="G56" s="517"/>
      <c r="H56" s="517"/>
      <c r="I56" s="517"/>
      <c r="J56" s="517"/>
      <c r="K56" s="514">
        <v>20.3</v>
      </c>
    </row>
    <row r="57" spans="1:11">
      <c r="A57" s="514" t="s">
        <v>748</v>
      </c>
      <c r="B57" s="514">
        <v>3</v>
      </c>
      <c r="C57" s="514" t="s">
        <v>1009</v>
      </c>
      <c r="D57" s="517"/>
      <c r="E57" s="517"/>
      <c r="F57" s="517"/>
      <c r="G57" s="517"/>
      <c r="H57" s="517"/>
      <c r="I57" s="517"/>
      <c r="J57" s="517"/>
      <c r="K57" s="514">
        <v>45.1</v>
      </c>
    </row>
    <row r="58" spans="1:11">
      <c r="A58" s="514" t="s">
        <v>749</v>
      </c>
      <c r="B58" s="514">
        <v>3</v>
      </c>
      <c r="C58" s="514" t="s">
        <v>1065</v>
      </c>
      <c r="D58" s="517"/>
      <c r="E58" s="517"/>
      <c r="F58" s="517"/>
      <c r="G58" s="517"/>
      <c r="H58" s="517"/>
      <c r="I58" s="517"/>
      <c r="J58" s="517"/>
      <c r="K58" s="514">
        <v>30.2</v>
      </c>
    </row>
    <row r="59" spans="1:11">
      <c r="A59" s="514" t="s">
        <v>750</v>
      </c>
      <c r="B59" s="514">
        <v>3</v>
      </c>
      <c r="C59" s="514" t="s">
        <v>1035</v>
      </c>
      <c r="D59" s="517"/>
      <c r="E59" s="517"/>
      <c r="F59" s="517"/>
      <c r="G59" s="517"/>
      <c r="H59" s="517"/>
      <c r="I59" s="517"/>
      <c r="J59" s="517"/>
      <c r="K59" s="514">
        <v>49.7</v>
      </c>
    </row>
    <row r="60" spans="1:11">
      <c r="A60" s="514" t="s">
        <v>751</v>
      </c>
      <c r="B60" s="514">
        <v>2</v>
      </c>
      <c r="C60" s="514" t="s">
        <v>1010</v>
      </c>
      <c r="D60" s="517"/>
      <c r="E60" s="517"/>
      <c r="F60" s="517"/>
      <c r="G60" s="517"/>
      <c r="H60" s="517"/>
      <c r="I60" s="517"/>
      <c r="J60" s="517"/>
      <c r="K60" s="514">
        <v>34.700000000000003</v>
      </c>
    </row>
    <row r="61" spans="1:11">
      <c r="A61" s="514" t="s">
        <v>752</v>
      </c>
      <c r="B61" s="514">
        <v>1</v>
      </c>
      <c r="C61" s="514" t="s">
        <v>1066</v>
      </c>
      <c r="D61" s="517"/>
      <c r="E61" s="517"/>
      <c r="F61" s="517"/>
      <c r="G61" s="517"/>
      <c r="H61" s="517"/>
      <c r="I61" s="517"/>
      <c r="J61" s="517"/>
      <c r="K61" s="514">
        <v>42.9</v>
      </c>
    </row>
    <row r="62" spans="1:11">
      <c r="A62" s="514" t="s">
        <v>753</v>
      </c>
      <c r="B62" s="514">
        <v>2</v>
      </c>
      <c r="C62" s="514" t="s">
        <v>1043</v>
      </c>
      <c r="D62" s="517"/>
      <c r="E62" s="517"/>
      <c r="F62" s="517"/>
      <c r="G62" s="517"/>
      <c r="H62" s="517"/>
      <c r="I62" s="517"/>
      <c r="J62" s="517"/>
      <c r="K62" s="514">
        <v>34.299999999999997</v>
      </c>
    </row>
    <row r="63" spans="1:11">
      <c r="A63" s="514" t="s">
        <v>754</v>
      </c>
      <c r="B63" s="514">
        <v>3</v>
      </c>
      <c r="C63" s="514" t="s">
        <v>1008</v>
      </c>
      <c r="D63" s="517"/>
      <c r="E63" s="517"/>
      <c r="F63" s="517"/>
      <c r="G63" s="517"/>
      <c r="H63" s="517"/>
      <c r="I63" s="517"/>
      <c r="J63" s="517"/>
      <c r="K63" s="514">
        <v>45.5</v>
      </c>
    </row>
    <row r="64" spans="1:11">
      <c r="A64" s="514" t="s">
        <v>755</v>
      </c>
      <c r="B64" s="514">
        <v>1</v>
      </c>
      <c r="C64" s="514" t="s">
        <v>1067</v>
      </c>
      <c r="D64" s="517"/>
      <c r="E64" s="517"/>
      <c r="F64" s="517"/>
      <c r="G64" s="517"/>
      <c r="H64" s="517"/>
      <c r="I64" s="517"/>
      <c r="J64" s="517"/>
      <c r="K64" s="514">
        <v>73</v>
      </c>
    </row>
    <row r="65" spans="1:11">
      <c r="A65" s="514" t="s">
        <v>756</v>
      </c>
      <c r="B65" s="514">
        <v>2</v>
      </c>
      <c r="C65" s="514" t="s">
        <v>1011</v>
      </c>
      <c r="D65" s="517"/>
      <c r="E65" s="517"/>
      <c r="F65" s="517"/>
      <c r="G65" s="517"/>
      <c r="H65" s="517"/>
      <c r="I65" s="517"/>
      <c r="J65" s="517"/>
      <c r="K65" s="514">
        <v>35</v>
      </c>
    </row>
    <row r="66" spans="1:11">
      <c r="A66" s="514" t="s">
        <v>757</v>
      </c>
      <c r="B66" s="514">
        <v>3</v>
      </c>
      <c r="C66" s="514" t="s">
        <v>1012</v>
      </c>
      <c r="D66" s="517"/>
      <c r="E66" s="517"/>
      <c r="F66" s="517"/>
      <c r="G66" s="517"/>
      <c r="H66" s="517"/>
      <c r="I66" s="517"/>
      <c r="J66" s="517"/>
      <c r="K66" s="514">
        <v>27.8</v>
      </c>
    </row>
    <row r="67" spans="1:11">
      <c r="A67" s="514" t="s">
        <v>541</v>
      </c>
      <c r="B67" s="514">
        <v>2</v>
      </c>
      <c r="C67" s="514" t="s">
        <v>1068</v>
      </c>
      <c r="D67" s="517"/>
      <c r="E67" s="517"/>
      <c r="F67" s="517"/>
      <c r="G67" s="517"/>
      <c r="H67" s="517"/>
      <c r="I67" s="517"/>
      <c r="J67" s="517"/>
      <c r="K67" s="514">
        <v>34.200000000000003</v>
      </c>
    </row>
    <row r="68" spans="1:11">
      <c r="A68" s="514" t="s">
        <v>758</v>
      </c>
      <c r="B68" s="514">
        <v>3</v>
      </c>
      <c r="C68" s="514" t="s">
        <v>1013</v>
      </c>
      <c r="D68" s="517"/>
      <c r="E68" s="517"/>
      <c r="F68" s="517"/>
      <c r="G68" s="517"/>
      <c r="H68" s="517"/>
      <c r="I68" s="517"/>
      <c r="J68" s="517"/>
      <c r="K68" s="514">
        <v>34.299999999999997</v>
      </c>
    </row>
    <row r="69" spans="1:11">
      <c r="A69" s="514" t="s">
        <v>759</v>
      </c>
      <c r="B69" s="514">
        <v>3</v>
      </c>
      <c r="C69" s="514" t="s">
        <v>1069</v>
      </c>
      <c r="D69" s="517"/>
      <c r="E69" s="517"/>
      <c r="F69" s="517"/>
      <c r="G69" s="517"/>
      <c r="H69" s="517"/>
      <c r="I69" s="517"/>
      <c r="J69" s="517"/>
      <c r="K69" s="514">
        <v>44.3</v>
      </c>
    </row>
    <row r="70" spans="1:11">
      <c r="A70" s="514" t="s">
        <v>760</v>
      </c>
      <c r="B70" s="514">
        <v>3</v>
      </c>
      <c r="C70" s="514" t="s">
        <v>1070</v>
      </c>
      <c r="D70" s="517"/>
      <c r="E70" s="517"/>
      <c r="F70" s="517"/>
      <c r="G70" s="517"/>
      <c r="H70" s="517"/>
      <c r="I70" s="517"/>
      <c r="J70" s="517"/>
      <c r="K70" s="514">
        <v>33.700000000000003</v>
      </c>
    </row>
    <row r="71" spans="1:11">
      <c r="A71" s="514" t="s">
        <v>761</v>
      </c>
      <c r="B71" s="514">
        <v>3</v>
      </c>
      <c r="C71" s="514" t="s">
        <v>1065</v>
      </c>
      <c r="D71" s="517"/>
      <c r="E71" s="517"/>
      <c r="F71" s="517"/>
      <c r="G71" s="517"/>
      <c r="H71" s="517"/>
      <c r="I71" s="517"/>
      <c r="J71" s="517"/>
      <c r="K71" s="514">
        <v>36.5</v>
      </c>
    </row>
    <row r="72" spans="1:11">
      <c r="A72" s="514" t="s">
        <v>762</v>
      </c>
      <c r="B72" s="514">
        <v>3</v>
      </c>
      <c r="C72" s="514" t="s">
        <v>1071</v>
      </c>
      <c r="D72" s="517"/>
      <c r="E72" s="517"/>
      <c r="F72" s="517"/>
      <c r="G72" s="517"/>
      <c r="H72" s="517"/>
      <c r="I72" s="517"/>
      <c r="J72" s="517"/>
      <c r="K72" s="514">
        <v>43.3</v>
      </c>
    </row>
    <row r="73" spans="1:11">
      <c r="A73" s="514" t="s">
        <v>763</v>
      </c>
      <c r="B73" s="514">
        <v>3</v>
      </c>
      <c r="C73" s="514" t="s">
        <v>1014</v>
      </c>
      <c r="D73" s="517"/>
      <c r="E73" s="517"/>
      <c r="F73" s="517"/>
      <c r="G73" s="517"/>
      <c r="H73" s="517"/>
      <c r="I73" s="517"/>
      <c r="J73" s="517"/>
      <c r="K73" s="514">
        <v>27.1</v>
      </c>
    </row>
    <row r="74" spans="1:11">
      <c r="A74" s="514" t="s">
        <v>549</v>
      </c>
      <c r="B74" s="514">
        <v>3</v>
      </c>
      <c r="C74" s="514" t="s">
        <v>1072</v>
      </c>
      <c r="D74" s="517"/>
      <c r="E74" s="517"/>
      <c r="F74" s="517"/>
      <c r="G74" s="517"/>
      <c r="H74" s="517"/>
      <c r="I74" s="517"/>
      <c r="J74" s="517"/>
      <c r="K74" s="514">
        <v>40.700000000000003</v>
      </c>
    </row>
    <row r="75" spans="1:11">
      <c r="A75" s="514" t="s">
        <v>764</v>
      </c>
      <c r="B75" s="514">
        <v>2</v>
      </c>
      <c r="C75" s="514" t="s">
        <v>1073</v>
      </c>
      <c r="D75" s="517"/>
      <c r="E75" s="517"/>
      <c r="F75" s="517"/>
      <c r="G75" s="517"/>
      <c r="H75" s="517"/>
      <c r="I75" s="517"/>
      <c r="J75" s="517"/>
      <c r="K75" s="514">
        <v>52.7</v>
      </c>
    </row>
    <row r="76" spans="1:11">
      <c r="A76" s="514" t="s">
        <v>765</v>
      </c>
      <c r="B76" s="514">
        <v>2</v>
      </c>
      <c r="C76" s="514" t="s">
        <v>1074</v>
      </c>
      <c r="D76" s="517"/>
      <c r="E76" s="517"/>
      <c r="F76" s="517"/>
      <c r="G76" s="517"/>
      <c r="H76" s="517"/>
      <c r="I76" s="517"/>
      <c r="J76" s="517"/>
      <c r="K76" s="514">
        <v>54.5</v>
      </c>
    </row>
    <row r="77" spans="1:11">
      <c r="A77" s="514" t="s">
        <v>766</v>
      </c>
      <c r="B77" s="514">
        <v>3</v>
      </c>
      <c r="C77" s="514" t="s">
        <v>1065</v>
      </c>
      <c r="D77" s="517"/>
      <c r="E77" s="517"/>
      <c r="F77" s="517"/>
      <c r="G77" s="517"/>
      <c r="H77" s="517"/>
      <c r="I77" s="517"/>
      <c r="J77" s="517"/>
      <c r="K77" s="514"/>
    </row>
    <row r="78" spans="1:11">
      <c r="A78" s="514" t="s">
        <v>767</v>
      </c>
      <c r="B78" s="514">
        <v>3</v>
      </c>
      <c r="C78" s="514" t="s">
        <v>1075</v>
      </c>
      <c r="D78" s="517"/>
      <c r="E78" s="517"/>
      <c r="F78" s="517"/>
      <c r="G78" s="517"/>
      <c r="H78" s="517"/>
      <c r="I78" s="517"/>
      <c r="J78" s="517"/>
      <c r="K78" s="514">
        <v>41.8</v>
      </c>
    </row>
    <row r="79" spans="1:11">
      <c r="A79" s="514" t="s">
        <v>768</v>
      </c>
      <c r="B79" s="514">
        <v>3</v>
      </c>
      <c r="C79" s="514" t="s">
        <v>1032</v>
      </c>
      <c r="D79" s="517"/>
      <c r="E79" s="517"/>
      <c r="F79" s="517"/>
      <c r="G79" s="517"/>
      <c r="H79" s="517"/>
      <c r="I79" s="517"/>
      <c r="J79" s="517"/>
      <c r="K79" s="514">
        <v>30.2</v>
      </c>
    </row>
    <row r="80" spans="1:11">
      <c r="A80" s="514" t="s">
        <v>769</v>
      </c>
      <c r="B80" s="514">
        <v>2</v>
      </c>
      <c r="C80" s="514" t="s">
        <v>1015</v>
      </c>
      <c r="D80" s="517"/>
      <c r="E80" s="517"/>
      <c r="F80" s="517"/>
      <c r="G80" s="517"/>
      <c r="H80" s="517"/>
      <c r="I80" s="517"/>
      <c r="J80" s="517"/>
      <c r="K80" s="514">
        <v>33.799999999999997</v>
      </c>
    </row>
    <row r="81" spans="1:11">
      <c r="A81" s="514" t="s">
        <v>770</v>
      </c>
      <c r="B81" s="514">
        <v>3</v>
      </c>
      <c r="C81" s="514" t="s">
        <v>1076</v>
      </c>
      <c r="D81" s="517"/>
      <c r="E81" s="517"/>
      <c r="F81" s="517"/>
      <c r="G81" s="517"/>
      <c r="H81" s="517"/>
      <c r="I81" s="517"/>
      <c r="J81" s="517"/>
      <c r="K81" s="514">
        <v>52.1</v>
      </c>
    </row>
    <row r="82" spans="1:11">
      <c r="A82" s="514" t="s">
        <v>771</v>
      </c>
      <c r="B82" s="514">
        <v>2</v>
      </c>
      <c r="C82" s="514" t="s">
        <v>1077</v>
      </c>
      <c r="D82" s="517"/>
      <c r="E82" s="517"/>
      <c r="F82" s="517"/>
      <c r="G82" s="517"/>
      <c r="H82" s="517"/>
      <c r="I82" s="517"/>
      <c r="J82" s="517"/>
      <c r="K82" s="514">
        <v>31.2</v>
      </c>
    </row>
    <row r="83" spans="1:11">
      <c r="A83" s="514" t="s">
        <v>772</v>
      </c>
      <c r="B83" s="514">
        <v>1</v>
      </c>
      <c r="C83" s="514" t="s">
        <v>1078</v>
      </c>
      <c r="D83" s="517"/>
      <c r="E83" s="517"/>
      <c r="F83" s="517"/>
      <c r="G83" s="517"/>
      <c r="H83" s="517"/>
      <c r="I83" s="517"/>
      <c r="J83" s="517"/>
      <c r="K83" s="514">
        <v>52.6</v>
      </c>
    </row>
    <row r="84" spans="1:11">
      <c r="A84" s="514" t="s">
        <v>773</v>
      </c>
      <c r="B84" s="514">
        <v>2</v>
      </c>
      <c r="C84" s="514" t="s">
        <v>1079</v>
      </c>
      <c r="D84" s="517"/>
      <c r="E84" s="517"/>
      <c r="F84" s="517"/>
      <c r="G84" s="517"/>
      <c r="H84" s="517"/>
      <c r="I84" s="517"/>
      <c r="J84" s="517"/>
      <c r="K84" s="514">
        <v>23.7</v>
      </c>
    </row>
    <row r="85" spans="1:11">
      <c r="A85" s="514" t="s">
        <v>774</v>
      </c>
      <c r="B85" s="514">
        <v>3</v>
      </c>
      <c r="C85" s="514" t="s">
        <v>1016</v>
      </c>
      <c r="D85" s="517"/>
      <c r="E85" s="517"/>
      <c r="F85" s="517"/>
      <c r="G85" s="517"/>
      <c r="H85" s="517"/>
      <c r="I85" s="517"/>
      <c r="J85" s="517"/>
      <c r="K85" s="514">
        <v>27.9</v>
      </c>
    </row>
    <row r="86" spans="1:11">
      <c r="A86" s="514" t="s">
        <v>775</v>
      </c>
      <c r="B86" s="514">
        <v>2</v>
      </c>
      <c r="C86" s="514" t="s">
        <v>1080</v>
      </c>
      <c r="D86" s="517"/>
      <c r="E86" s="517"/>
      <c r="F86" s="517"/>
      <c r="G86" s="517"/>
      <c r="H86" s="517"/>
      <c r="I86" s="517"/>
      <c r="J86" s="517"/>
      <c r="K86" s="514">
        <v>33.1</v>
      </c>
    </row>
    <row r="87" spans="1:11">
      <c r="A87" s="514" t="s">
        <v>56</v>
      </c>
      <c r="B87" s="514">
        <v>2</v>
      </c>
      <c r="C87" s="514" t="s">
        <v>1081</v>
      </c>
      <c r="D87" s="517"/>
      <c r="E87" s="517"/>
      <c r="F87" s="517"/>
      <c r="G87" s="517"/>
      <c r="H87" s="517"/>
      <c r="I87" s="517"/>
      <c r="J87" s="517"/>
      <c r="K87" s="514">
        <v>39.9</v>
      </c>
    </row>
    <row r="88" spans="1:11">
      <c r="A88" s="514" t="s">
        <v>776</v>
      </c>
      <c r="B88" s="514">
        <v>3</v>
      </c>
      <c r="C88" s="514" t="s">
        <v>1082</v>
      </c>
      <c r="D88" s="517"/>
      <c r="E88" s="517"/>
      <c r="F88" s="517"/>
      <c r="G88" s="517"/>
      <c r="H88" s="517"/>
      <c r="I88" s="517"/>
      <c r="J88" s="517"/>
      <c r="K88" s="514">
        <v>50.5</v>
      </c>
    </row>
    <row r="89" spans="1:11">
      <c r="A89" s="514" t="s">
        <v>777</v>
      </c>
      <c r="B89" s="514">
        <v>3</v>
      </c>
      <c r="C89" s="514" t="s">
        <v>1043</v>
      </c>
      <c r="D89" s="517"/>
      <c r="E89" s="517"/>
      <c r="F89" s="517"/>
      <c r="G89" s="517"/>
      <c r="H89" s="517"/>
      <c r="I89" s="517"/>
      <c r="J89" s="517"/>
      <c r="K89" s="514">
        <v>47.3</v>
      </c>
    </row>
    <row r="90" spans="1:11">
      <c r="A90" s="514" t="s">
        <v>778</v>
      </c>
      <c r="B90" s="514">
        <v>3</v>
      </c>
      <c r="C90" s="514" t="s">
        <v>1033</v>
      </c>
      <c r="D90" s="517"/>
      <c r="E90" s="517"/>
      <c r="F90" s="517"/>
      <c r="G90" s="517"/>
      <c r="H90" s="517"/>
      <c r="I90" s="517"/>
      <c r="J90" s="517"/>
      <c r="K90" s="514">
        <v>52</v>
      </c>
    </row>
    <row r="91" spans="1:11">
      <c r="A91" s="514" t="s">
        <v>779</v>
      </c>
      <c r="B91" s="514">
        <v>1</v>
      </c>
      <c r="C91" s="514" t="s">
        <v>1083</v>
      </c>
      <c r="D91" s="517"/>
      <c r="E91" s="517"/>
      <c r="F91" s="517"/>
      <c r="G91" s="517"/>
      <c r="H91" s="517"/>
      <c r="I91" s="517"/>
      <c r="J91" s="517"/>
      <c r="K91" s="514">
        <v>34.299999999999997</v>
      </c>
    </row>
    <row r="92" spans="1:11">
      <c r="A92" s="514" t="s">
        <v>780</v>
      </c>
      <c r="B92" s="514">
        <v>3</v>
      </c>
      <c r="C92" s="514" t="s">
        <v>1017</v>
      </c>
      <c r="D92" s="517"/>
      <c r="E92" s="517"/>
      <c r="F92" s="517"/>
      <c r="G92" s="517"/>
      <c r="H92" s="517"/>
      <c r="I92" s="517"/>
      <c r="J92" s="517"/>
      <c r="K92" s="514">
        <v>36.1</v>
      </c>
    </row>
    <row r="93" spans="1:11">
      <c r="A93" s="514" t="s">
        <v>781</v>
      </c>
      <c r="B93" s="514">
        <v>3</v>
      </c>
      <c r="C93" s="514" t="s">
        <v>1084</v>
      </c>
      <c r="D93" s="517"/>
      <c r="E93" s="517"/>
      <c r="F93" s="517"/>
      <c r="G93" s="517"/>
      <c r="H93" s="517"/>
      <c r="I93" s="517"/>
      <c r="J93" s="517"/>
      <c r="K93" s="514">
        <v>41.5</v>
      </c>
    </row>
    <row r="94" spans="1:11">
      <c r="A94" s="514" t="s">
        <v>782</v>
      </c>
      <c r="B94" s="514">
        <v>2</v>
      </c>
      <c r="C94" s="514" t="s">
        <v>1033</v>
      </c>
      <c r="D94" s="517"/>
      <c r="E94" s="517"/>
      <c r="F94" s="517"/>
      <c r="G94" s="517"/>
      <c r="H94" s="517"/>
      <c r="I94" s="517"/>
      <c r="J94" s="517"/>
      <c r="K94" s="514">
        <v>52</v>
      </c>
    </row>
    <row r="95" spans="1:11">
      <c r="A95" s="514" t="s">
        <v>783</v>
      </c>
      <c r="B95" s="514">
        <v>3</v>
      </c>
      <c r="C95" s="514" t="s">
        <v>1085</v>
      </c>
      <c r="D95" s="517"/>
      <c r="E95" s="517"/>
      <c r="F95" s="517"/>
      <c r="G95" s="517"/>
      <c r="H95" s="517"/>
      <c r="I95" s="517"/>
      <c r="J95" s="517"/>
      <c r="K95" s="514">
        <v>31.7</v>
      </c>
    </row>
    <row r="96" spans="1:11">
      <c r="A96" s="514" t="s">
        <v>784</v>
      </c>
      <c r="B96" s="514">
        <v>3</v>
      </c>
      <c r="C96" s="514" t="s">
        <v>1086</v>
      </c>
      <c r="D96" s="517"/>
      <c r="E96" s="517"/>
      <c r="F96" s="517"/>
      <c r="G96" s="517"/>
      <c r="H96" s="517"/>
      <c r="I96" s="517"/>
      <c r="J96" s="517"/>
      <c r="K96" s="514">
        <v>35.6</v>
      </c>
    </row>
    <row r="97" spans="1:11">
      <c r="A97" s="514" t="s">
        <v>785</v>
      </c>
      <c r="B97" s="514">
        <v>3</v>
      </c>
      <c r="C97" s="514" t="s">
        <v>1065</v>
      </c>
      <c r="D97" s="517"/>
      <c r="E97" s="517"/>
      <c r="F97" s="517"/>
      <c r="G97" s="517"/>
      <c r="H97" s="517"/>
      <c r="I97" s="517"/>
      <c r="J97" s="517"/>
      <c r="K97" s="514">
        <v>25</v>
      </c>
    </row>
    <row r="98" spans="1:11">
      <c r="A98" s="514" t="s">
        <v>786</v>
      </c>
      <c r="B98" s="514">
        <v>2</v>
      </c>
      <c r="C98" s="514" t="s">
        <v>1087</v>
      </c>
      <c r="D98" s="517"/>
      <c r="E98" s="517"/>
      <c r="F98" s="517"/>
      <c r="G98" s="517"/>
      <c r="H98" s="517"/>
      <c r="I98" s="517"/>
      <c r="J98" s="517"/>
      <c r="K98" s="514">
        <v>32</v>
      </c>
    </row>
    <row r="99" spans="1:11">
      <c r="A99" s="514" t="s">
        <v>55</v>
      </c>
      <c r="B99" s="514">
        <v>1</v>
      </c>
      <c r="C99" s="514" t="s">
        <v>1018</v>
      </c>
      <c r="D99" s="517"/>
      <c r="E99" s="517"/>
      <c r="F99" s="517"/>
      <c r="G99" s="517"/>
      <c r="H99" s="517"/>
      <c r="I99" s="517"/>
      <c r="J99" s="517"/>
      <c r="K99" s="514">
        <v>37.9</v>
      </c>
    </row>
    <row r="100" spans="1:11">
      <c r="A100" s="514" t="s">
        <v>787</v>
      </c>
      <c r="B100" s="514">
        <v>2</v>
      </c>
      <c r="C100" s="514" t="s">
        <v>1088</v>
      </c>
      <c r="D100" s="517"/>
      <c r="E100" s="517"/>
      <c r="F100" s="517"/>
      <c r="G100" s="517"/>
      <c r="H100" s="517"/>
      <c r="I100" s="517"/>
      <c r="J100" s="517"/>
      <c r="K100" s="514">
        <v>40</v>
      </c>
    </row>
    <row r="101" spans="1:11">
      <c r="A101" s="514" t="s">
        <v>788</v>
      </c>
      <c r="B101" s="514">
        <v>3</v>
      </c>
      <c r="C101" s="514" t="s">
        <v>1089</v>
      </c>
      <c r="D101" s="517"/>
      <c r="E101" s="517"/>
      <c r="F101" s="517"/>
      <c r="G101" s="517"/>
      <c r="H101" s="517"/>
      <c r="I101" s="517"/>
      <c r="J101" s="517"/>
      <c r="K101" s="514">
        <v>29.2</v>
      </c>
    </row>
    <row r="102" spans="1:11">
      <c r="A102" s="514" t="s">
        <v>789</v>
      </c>
      <c r="B102" s="514">
        <v>3</v>
      </c>
      <c r="C102" s="514" t="s">
        <v>1073</v>
      </c>
      <c r="D102" s="517"/>
      <c r="E102" s="517"/>
      <c r="F102" s="517"/>
      <c r="G102" s="517"/>
      <c r="H102" s="517"/>
      <c r="I102" s="517"/>
      <c r="J102" s="517"/>
      <c r="K102" s="514"/>
    </row>
    <row r="103" spans="1:11">
      <c r="A103" s="514" t="s">
        <v>790</v>
      </c>
      <c r="B103" s="514">
        <v>2</v>
      </c>
      <c r="C103" s="514" t="s">
        <v>1090</v>
      </c>
      <c r="D103" s="517"/>
      <c r="E103" s="517"/>
      <c r="F103" s="517"/>
      <c r="G103" s="517"/>
      <c r="H103" s="517"/>
      <c r="I103" s="517"/>
      <c r="J103" s="517"/>
      <c r="K103" s="514">
        <v>28.7</v>
      </c>
    </row>
    <row r="104" spans="1:11">
      <c r="A104" s="514" t="s">
        <v>791</v>
      </c>
      <c r="B104" s="514">
        <v>3</v>
      </c>
      <c r="C104" s="514" t="s">
        <v>1019</v>
      </c>
      <c r="D104" s="517"/>
      <c r="E104" s="517"/>
      <c r="F104" s="517"/>
      <c r="G104" s="517"/>
      <c r="H104" s="517"/>
      <c r="I104" s="517"/>
      <c r="J104" s="517"/>
      <c r="K104" s="514">
        <v>43.6</v>
      </c>
    </row>
    <row r="105" spans="1:11">
      <c r="A105" s="514" t="s">
        <v>792</v>
      </c>
      <c r="B105" s="514">
        <v>2</v>
      </c>
      <c r="C105" s="514" t="s">
        <v>1091</v>
      </c>
      <c r="D105" s="517"/>
      <c r="E105" s="517"/>
      <c r="F105" s="517"/>
      <c r="G105" s="517"/>
      <c r="H105" s="517"/>
      <c r="I105" s="517"/>
      <c r="J105" s="517"/>
      <c r="K105" s="514">
        <v>34.200000000000003</v>
      </c>
    </row>
    <row r="106" spans="1:11">
      <c r="A106" s="514" t="s">
        <v>793</v>
      </c>
      <c r="B106" s="514">
        <v>2</v>
      </c>
      <c r="C106" s="514" t="s">
        <v>1043</v>
      </c>
      <c r="D106" s="517"/>
      <c r="E106" s="517"/>
      <c r="F106" s="517"/>
      <c r="G106" s="517"/>
      <c r="H106" s="517"/>
      <c r="I106" s="517"/>
      <c r="J106" s="517"/>
      <c r="K106" s="514">
        <v>40.4</v>
      </c>
    </row>
    <row r="107" spans="1:11">
      <c r="A107" s="514" t="s">
        <v>794</v>
      </c>
      <c r="B107" s="514">
        <v>3</v>
      </c>
      <c r="C107" s="514" t="s">
        <v>1021</v>
      </c>
      <c r="D107" s="517"/>
      <c r="E107" s="517"/>
      <c r="F107" s="517"/>
      <c r="G107" s="517"/>
      <c r="H107" s="517"/>
      <c r="I107" s="517"/>
      <c r="J107" s="517"/>
      <c r="K107" s="514">
        <v>42.4</v>
      </c>
    </row>
    <row r="108" spans="1:11">
      <c r="A108" s="514" t="s">
        <v>795</v>
      </c>
      <c r="B108" s="514">
        <v>3</v>
      </c>
      <c r="C108" s="514" t="s">
        <v>1092</v>
      </c>
      <c r="D108" s="517"/>
      <c r="E108" s="517"/>
      <c r="F108" s="517"/>
      <c r="G108" s="517"/>
      <c r="H108" s="517"/>
      <c r="I108" s="517"/>
      <c r="J108" s="517"/>
      <c r="K108" s="514">
        <v>34.200000000000003</v>
      </c>
    </row>
    <row r="109" spans="1:11">
      <c r="A109" s="514" t="s">
        <v>796</v>
      </c>
      <c r="B109" s="514">
        <v>2</v>
      </c>
      <c r="C109" s="514" t="s">
        <v>1020</v>
      </c>
      <c r="D109" s="517"/>
      <c r="E109" s="517"/>
      <c r="F109" s="517"/>
      <c r="G109" s="517"/>
      <c r="H109" s="517"/>
      <c r="I109" s="517"/>
      <c r="J109" s="517"/>
      <c r="K109" s="514">
        <v>33.9</v>
      </c>
    </row>
    <row r="110" spans="1:11">
      <c r="A110" s="514" t="s">
        <v>797</v>
      </c>
      <c r="B110" s="514">
        <v>3</v>
      </c>
      <c r="C110" s="514" t="s">
        <v>1093</v>
      </c>
      <c r="D110" s="517"/>
      <c r="E110" s="517"/>
      <c r="F110" s="517"/>
      <c r="G110" s="517"/>
      <c r="H110" s="517"/>
      <c r="I110" s="517"/>
      <c r="J110" s="517"/>
      <c r="K110" s="514">
        <v>39.200000000000003</v>
      </c>
    </row>
    <row r="111" spans="1:11">
      <c r="A111" s="514" t="s">
        <v>798</v>
      </c>
      <c r="B111" s="514">
        <v>2</v>
      </c>
      <c r="C111" s="514" t="s">
        <v>1094</v>
      </c>
      <c r="D111" s="517"/>
      <c r="E111" s="517"/>
      <c r="F111" s="517"/>
      <c r="G111" s="517"/>
      <c r="H111" s="517"/>
      <c r="I111" s="517"/>
      <c r="J111" s="517"/>
      <c r="K111" s="514">
        <v>70.900000000000006</v>
      </c>
    </row>
    <row r="112" spans="1:11">
      <c r="A112" s="514" t="s">
        <v>799</v>
      </c>
      <c r="B112" s="514">
        <v>3</v>
      </c>
      <c r="C112" s="514" t="s">
        <v>1022</v>
      </c>
      <c r="D112" s="517"/>
      <c r="E112" s="517"/>
      <c r="F112" s="517"/>
      <c r="G112" s="517"/>
      <c r="H112" s="517"/>
      <c r="I112" s="517"/>
      <c r="J112" s="517"/>
      <c r="K112" s="514">
        <v>29.2</v>
      </c>
    </row>
    <row r="113" spans="1:11">
      <c r="A113" s="514" t="s">
        <v>800</v>
      </c>
      <c r="B113" s="514">
        <v>3</v>
      </c>
      <c r="C113" s="514" t="s">
        <v>1023</v>
      </c>
      <c r="D113" s="517"/>
      <c r="E113" s="517"/>
      <c r="F113" s="517"/>
      <c r="G113" s="517"/>
      <c r="H113" s="517"/>
      <c r="I113" s="517"/>
      <c r="J113" s="517"/>
      <c r="K113" s="514">
        <v>34.6</v>
      </c>
    </row>
    <row r="114" spans="1:11">
      <c r="A114" s="514" t="s">
        <v>801</v>
      </c>
      <c r="B114" s="514">
        <v>3</v>
      </c>
      <c r="C114" s="514" t="s">
        <v>1033</v>
      </c>
      <c r="D114" s="517"/>
      <c r="E114" s="517"/>
      <c r="F114" s="517"/>
      <c r="G114" s="517"/>
      <c r="H114" s="517"/>
      <c r="I114" s="517"/>
      <c r="J114" s="517"/>
      <c r="K114" s="514">
        <v>28.8</v>
      </c>
    </row>
    <row r="115" spans="1:11">
      <c r="A115" s="514" t="s">
        <v>802</v>
      </c>
      <c r="B115" s="514">
        <v>3</v>
      </c>
      <c r="C115" s="514" t="s">
        <v>1095</v>
      </c>
      <c r="D115" s="517"/>
      <c r="E115" s="517"/>
      <c r="F115" s="517"/>
      <c r="G115" s="517"/>
      <c r="H115" s="517"/>
      <c r="I115" s="517"/>
      <c r="J115" s="517"/>
      <c r="K115" s="514">
        <v>20.100000000000001</v>
      </c>
    </row>
    <row r="116" spans="1:11">
      <c r="A116" s="514" t="s">
        <v>803</v>
      </c>
      <c r="B116" s="514">
        <v>3</v>
      </c>
      <c r="C116" s="514" t="s">
        <v>1096</v>
      </c>
      <c r="D116" s="517"/>
      <c r="E116" s="517"/>
      <c r="F116" s="517"/>
      <c r="G116" s="517"/>
      <c r="H116" s="517"/>
      <c r="I116" s="517"/>
      <c r="J116" s="517"/>
      <c r="K116" s="514">
        <v>43</v>
      </c>
    </row>
    <row r="117" spans="1:11">
      <c r="A117" s="514" t="s">
        <v>804</v>
      </c>
      <c r="B117" s="514">
        <v>3</v>
      </c>
      <c r="C117" s="514" t="s">
        <v>1097</v>
      </c>
      <c r="D117" s="517"/>
      <c r="E117" s="517"/>
      <c r="F117" s="517"/>
      <c r="G117" s="517"/>
      <c r="H117" s="517"/>
      <c r="I117" s="517"/>
      <c r="J117" s="517"/>
      <c r="K117" s="514">
        <v>27.4</v>
      </c>
    </row>
    <row r="118" spans="1:11">
      <c r="A118" s="514" t="s">
        <v>805</v>
      </c>
      <c r="B118" s="514">
        <v>3</v>
      </c>
      <c r="C118" s="514" t="s">
        <v>1098</v>
      </c>
      <c r="D118" s="517"/>
      <c r="E118" s="517"/>
      <c r="F118" s="517"/>
      <c r="G118" s="517"/>
      <c r="H118" s="517"/>
      <c r="I118" s="517"/>
      <c r="J118" s="517"/>
      <c r="K118" s="514">
        <v>44.3</v>
      </c>
    </row>
    <row r="119" spans="1:11">
      <c r="A119" s="514" t="s">
        <v>806</v>
      </c>
      <c r="B119" s="514">
        <v>2</v>
      </c>
      <c r="C119" s="514" t="s">
        <v>1099</v>
      </c>
      <c r="D119" s="517"/>
      <c r="E119" s="517"/>
      <c r="F119" s="517"/>
      <c r="G119" s="517"/>
      <c r="H119" s="517"/>
      <c r="I119" s="517"/>
      <c r="J119" s="517"/>
      <c r="K119" s="514">
        <v>42.2</v>
      </c>
    </row>
    <row r="120" spans="1:11">
      <c r="A120" s="514" t="s">
        <v>807</v>
      </c>
      <c r="B120" s="514">
        <v>2</v>
      </c>
      <c r="C120" s="514" t="s">
        <v>1043</v>
      </c>
      <c r="D120" s="517"/>
      <c r="E120" s="517"/>
      <c r="F120" s="517"/>
      <c r="G120" s="517"/>
      <c r="H120" s="517"/>
      <c r="I120" s="517"/>
      <c r="J120" s="517"/>
      <c r="K120" s="514">
        <v>37.299999999999997</v>
      </c>
    </row>
    <row r="121" spans="1:11">
      <c r="A121" s="514" t="s">
        <v>808</v>
      </c>
      <c r="B121" s="514">
        <v>3</v>
      </c>
      <c r="C121" s="514" t="s">
        <v>1100</v>
      </c>
      <c r="D121" s="517"/>
      <c r="E121" s="517"/>
      <c r="F121" s="517"/>
      <c r="G121" s="517"/>
      <c r="H121" s="517"/>
      <c r="I121" s="517"/>
      <c r="J121" s="517"/>
      <c r="K121" s="514">
        <v>33.1</v>
      </c>
    </row>
    <row r="122" spans="1:11">
      <c r="A122" s="514" t="s">
        <v>809</v>
      </c>
      <c r="B122" s="514">
        <v>3</v>
      </c>
      <c r="C122" s="514" t="s">
        <v>1024</v>
      </c>
      <c r="D122" s="517"/>
      <c r="E122" s="517"/>
      <c r="F122" s="517"/>
      <c r="G122" s="517"/>
      <c r="H122" s="517"/>
      <c r="I122" s="517"/>
      <c r="J122" s="517"/>
      <c r="K122" s="514">
        <v>53</v>
      </c>
    </row>
    <row r="123" spans="1:11">
      <c r="A123" s="514" t="s">
        <v>810</v>
      </c>
      <c r="B123" s="514">
        <v>2</v>
      </c>
      <c r="C123" s="514" t="s">
        <v>1101</v>
      </c>
      <c r="D123" s="517"/>
      <c r="E123" s="517"/>
      <c r="F123" s="517"/>
      <c r="G123" s="517"/>
      <c r="H123" s="517"/>
      <c r="I123" s="517"/>
      <c r="J123" s="517"/>
      <c r="K123" s="514">
        <v>48.7</v>
      </c>
    </row>
    <row r="124" spans="1:11">
      <c r="A124" s="514" t="s">
        <v>811</v>
      </c>
      <c r="B124" s="514">
        <v>3</v>
      </c>
      <c r="C124" s="514" t="s">
        <v>1056</v>
      </c>
      <c r="D124" s="517"/>
      <c r="E124" s="517"/>
      <c r="F124" s="517"/>
      <c r="G124" s="517"/>
      <c r="H124" s="517"/>
      <c r="I124" s="517"/>
      <c r="J124" s="517"/>
      <c r="K124" s="514"/>
    </row>
    <row r="125" spans="1:11">
      <c r="A125" s="514" t="s">
        <v>812</v>
      </c>
      <c r="B125" s="514">
        <v>3</v>
      </c>
      <c r="C125" s="514" t="s">
        <v>1065</v>
      </c>
      <c r="D125" s="517"/>
      <c r="E125" s="517"/>
      <c r="F125" s="517"/>
      <c r="G125" s="517"/>
      <c r="H125" s="517"/>
      <c r="I125" s="517"/>
      <c r="J125" s="517"/>
      <c r="K125" s="514">
        <v>29.5</v>
      </c>
    </row>
    <row r="126" spans="1:11">
      <c r="A126" s="514" t="s">
        <v>813</v>
      </c>
      <c r="B126" s="514">
        <v>2</v>
      </c>
      <c r="C126" s="514" t="s">
        <v>1026</v>
      </c>
      <c r="D126" s="517"/>
      <c r="E126" s="517"/>
      <c r="F126" s="517"/>
      <c r="G126" s="517"/>
      <c r="H126" s="517"/>
      <c r="I126" s="517"/>
      <c r="J126" s="517"/>
      <c r="K126" s="514">
        <v>53.7</v>
      </c>
    </row>
    <row r="127" spans="1:11">
      <c r="A127" s="514" t="s">
        <v>814</v>
      </c>
      <c r="B127" s="514">
        <v>2</v>
      </c>
      <c r="C127" s="514" t="s">
        <v>1102</v>
      </c>
      <c r="D127" s="517"/>
      <c r="E127" s="517"/>
      <c r="F127" s="517"/>
      <c r="G127" s="517"/>
      <c r="H127" s="517"/>
      <c r="I127" s="517"/>
      <c r="J127" s="517"/>
      <c r="K127" s="514">
        <v>40.700000000000003</v>
      </c>
    </row>
    <row r="128" spans="1:11">
      <c r="A128" s="514" t="s">
        <v>815</v>
      </c>
      <c r="B128" s="514">
        <v>2</v>
      </c>
      <c r="C128" s="514" t="s">
        <v>1103</v>
      </c>
      <c r="D128" s="517"/>
      <c r="E128" s="517"/>
      <c r="F128" s="517"/>
      <c r="G128" s="517"/>
      <c r="H128" s="517"/>
      <c r="I128" s="517"/>
      <c r="J128" s="517"/>
      <c r="K128" s="514">
        <v>60.2</v>
      </c>
    </row>
    <row r="129" spans="1:11">
      <c r="A129" s="514" t="s">
        <v>816</v>
      </c>
      <c r="B129" s="514">
        <v>3</v>
      </c>
      <c r="C129" s="514" t="s">
        <v>1025</v>
      </c>
      <c r="D129" s="517"/>
      <c r="E129" s="517"/>
      <c r="F129" s="517"/>
      <c r="G129" s="517"/>
      <c r="H129" s="517"/>
      <c r="I129" s="517"/>
      <c r="J129" s="517"/>
      <c r="K129" s="514">
        <v>31.8</v>
      </c>
    </row>
    <row r="130" spans="1:11">
      <c r="A130" s="514" t="s">
        <v>817</v>
      </c>
      <c r="B130" s="514">
        <v>3</v>
      </c>
      <c r="C130" s="514" t="s">
        <v>1035</v>
      </c>
      <c r="D130" s="517"/>
      <c r="E130" s="517"/>
      <c r="F130" s="517"/>
      <c r="G130" s="517"/>
      <c r="H130" s="517"/>
      <c r="I130" s="517"/>
      <c r="J130" s="517"/>
      <c r="K130" s="514">
        <v>49.7</v>
      </c>
    </row>
    <row r="131" spans="1:11">
      <c r="A131" s="514" t="s">
        <v>818</v>
      </c>
      <c r="B131" s="514">
        <v>3</v>
      </c>
      <c r="C131" s="514" t="s">
        <v>1035</v>
      </c>
      <c r="D131" s="517"/>
      <c r="E131" s="517"/>
      <c r="F131" s="517"/>
      <c r="G131" s="517"/>
      <c r="H131" s="517"/>
      <c r="I131" s="517"/>
      <c r="J131" s="517"/>
      <c r="K131" s="514">
        <v>48.3</v>
      </c>
    </row>
    <row r="132" spans="1:11">
      <c r="A132" s="514" t="s">
        <v>819</v>
      </c>
      <c r="B132" s="514">
        <v>3</v>
      </c>
      <c r="C132" s="514" t="s">
        <v>1065</v>
      </c>
      <c r="D132" s="517"/>
      <c r="E132" s="517"/>
      <c r="F132" s="517"/>
      <c r="G132" s="517"/>
      <c r="H132" s="517"/>
      <c r="I132" s="517"/>
      <c r="J132" s="517"/>
      <c r="K132" s="514"/>
    </row>
    <row r="133" spans="1:11">
      <c r="A133" s="514" t="s">
        <v>820</v>
      </c>
      <c r="B133" s="514">
        <v>3</v>
      </c>
      <c r="C133" s="514" t="s">
        <v>1035</v>
      </c>
      <c r="D133" s="517"/>
      <c r="E133" s="517"/>
      <c r="F133" s="517"/>
      <c r="G133" s="517"/>
      <c r="H133" s="517"/>
      <c r="I133" s="517"/>
      <c r="J133" s="517"/>
      <c r="K133" s="514">
        <v>49.7</v>
      </c>
    </row>
    <row r="134" spans="1:11">
      <c r="A134" s="514" t="s">
        <v>821</v>
      </c>
      <c r="B134" s="514">
        <v>2</v>
      </c>
      <c r="C134" s="514" t="s">
        <v>1104</v>
      </c>
      <c r="D134" s="517"/>
      <c r="E134" s="517"/>
      <c r="F134" s="517"/>
      <c r="G134" s="517"/>
      <c r="H134" s="517"/>
      <c r="I134" s="517"/>
      <c r="J134" s="517"/>
      <c r="K134" s="514">
        <v>74</v>
      </c>
    </row>
    <row r="135" spans="1:11">
      <c r="A135" s="514" t="s">
        <v>822</v>
      </c>
      <c r="B135" s="514">
        <v>3</v>
      </c>
      <c r="C135" s="514" t="s">
        <v>1027</v>
      </c>
      <c r="D135" s="517"/>
      <c r="E135" s="517"/>
      <c r="F135" s="517"/>
      <c r="G135" s="517"/>
      <c r="H135" s="517"/>
      <c r="I135" s="517"/>
      <c r="J135" s="517"/>
      <c r="K135" s="514">
        <v>39.4</v>
      </c>
    </row>
    <row r="136" spans="1:11">
      <c r="A136" s="514" t="s">
        <v>823</v>
      </c>
      <c r="B136" s="514">
        <v>2</v>
      </c>
      <c r="C136" s="514" t="s">
        <v>1105</v>
      </c>
      <c r="D136" s="517"/>
      <c r="E136" s="517"/>
      <c r="F136" s="517"/>
      <c r="G136" s="517"/>
      <c r="H136" s="517"/>
      <c r="I136" s="517"/>
      <c r="J136" s="517"/>
      <c r="K136" s="514">
        <v>28.8</v>
      </c>
    </row>
    <row r="137" spans="1:11">
      <c r="A137" s="514" t="s">
        <v>824</v>
      </c>
      <c r="B137" s="514">
        <v>3</v>
      </c>
      <c r="C137" s="514" t="s">
        <v>1106</v>
      </c>
      <c r="D137" s="517"/>
      <c r="E137" s="517"/>
      <c r="F137" s="517"/>
      <c r="G137" s="517"/>
      <c r="H137" s="517"/>
      <c r="I137" s="517"/>
      <c r="J137" s="517"/>
      <c r="K137" s="514">
        <v>28</v>
      </c>
    </row>
    <row r="138" spans="1:11">
      <c r="A138" s="514" t="s">
        <v>53</v>
      </c>
      <c r="B138" s="514">
        <v>2</v>
      </c>
      <c r="C138" s="514" t="s">
        <v>1107</v>
      </c>
      <c r="D138" s="517"/>
      <c r="E138" s="517"/>
      <c r="F138" s="517"/>
      <c r="G138" s="517"/>
      <c r="H138" s="517"/>
      <c r="I138" s="517"/>
      <c r="J138" s="517"/>
      <c r="K138" s="514">
        <v>43.3</v>
      </c>
    </row>
    <row r="139" spans="1:11">
      <c r="A139" s="514" t="s">
        <v>825</v>
      </c>
      <c r="B139" s="514">
        <v>2</v>
      </c>
      <c r="C139" s="514" t="s">
        <v>1033</v>
      </c>
      <c r="D139" s="517"/>
      <c r="E139" s="517"/>
      <c r="F139" s="517"/>
      <c r="G139" s="517"/>
      <c r="H139" s="517"/>
      <c r="I139" s="517"/>
      <c r="J139" s="517"/>
      <c r="K139" s="514">
        <v>45.7</v>
      </c>
    </row>
    <row r="140" spans="1:11">
      <c r="A140" s="514" t="s">
        <v>826</v>
      </c>
      <c r="B140" s="514">
        <v>2</v>
      </c>
      <c r="C140" s="514" t="s">
        <v>1043</v>
      </c>
      <c r="D140" s="517"/>
      <c r="E140" s="517"/>
      <c r="F140" s="517"/>
      <c r="G140" s="517"/>
      <c r="H140" s="517"/>
      <c r="I140" s="517"/>
      <c r="J140" s="517"/>
      <c r="K140" s="514">
        <v>47.9</v>
      </c>
    </row>
    <row r="141" spans="1:11">
      <c r="A141" s="514" t="s">
        <v>827</v>
      </c>
      <c r="B141" s="514">
        <v>3</v>
      </c>
      <c r="C141" s="514" t="s">
        <v>1108</v>
      </c>
      <c r="D141" s="517"/>
      <c r="E141" s="517"/>
      <c r="F141" s="517"/>
      <c r="G141" s="517"/>
      <c r="H141" s="517"/>
      <c r="I141" s="517"/>
      <c r="J141" s="517"/>
      <c r="K141" s="514">
        <v>34.1</v>
      </c>
    </row>
    <row r="142" spans="1:11">
      <c r="A142" s="514" t="s">
        <v>828</v>
      </c>
      <c r="B142" s="514">
        <v>3</v>
      </c>
      <c r="C142" s="514" t="s">
        <v>1028</v>
      </c>
      <c r="D142" s="517"/>
      <c r="E142" s="517"/>
      <c r="F142" s="517"/>
      <c r="G142" s="517"/>
      <c r="H142" s="517"/>
      <c r="I142" s="517"/>
      <c r="J142" s="517"/>
      <c r="K142" s="514">
        <v>42.7</v>
      </c>
    </row>
    <row r="143" spans="1:11">
      <c r="A143" s="514" t="s">
        <v>829</v>
      </c>
      <c r="B143" s="514">
        <v>3</v>
      </c>
      <c r="C143" s="514" t="s">
        <v>1109</v>
      </c>
      <c r="D143" s="517"/>
      <c r="E143" s="517"/>
      <c r="F143" s="517"/>
      <c r="G143" s="517"/>
      <c r="H143" s="517"/>
      <c r="I143" s="517"/>
      <c r="J143" s="517"/>
      <c r="K143" s="514">
        <v>34.1</v>
      </c>
    </row>
    <row r="144" spans="1:11">
      <c r="A144" s="514" t="s">
        <v>830</v>
      </c>
      <c r="B144" s="514">
        <v>3</v>
      </c>
      <c r="C144" s="514" t="s">
        <v>1110</v>
      </c>
      <c r="D144" s="517"/>
      <c r="E144" s="517"/>
      <c r="F144" s="517"/>
      <c r="G144" s="517"/>
      <c r="H144" s="517"/>
      <c r="I144" s="517"/>
      <c r="J144" s="517"/>
      <c r="K144" s="514">
        <v>24.1</v>
      </c>
    </row>
    <row r="145" spans="1:11">
      <c r="A145" s="514" t="s">
        <v>831</v>
      </c>
      <c r="B145" s="514">
        <v>3</v>
      </c>
      <c r="C145" s="514" t="s">
        <v>1111</v>
      </c>
      <c r="D145" s="517"/>
      <c r="E145" s="517"/>
      <c r="F145" s="517"/>
      <c r="G145" s="517"/>
      <c r="H145" s="517"/>
      <c r="I145" s="517"/>
      <c r="J145" s="517"/>
      <c r="K145" s="514">
        <v>61.2</v>
      </c>
    </row>
    <row r="146" spans="1:11">
      <c r="A146" s="514" t="s">
        <v>832</v>
      </c>
      <c r="B146" s="514">
        <v>3</v>
      </c>
      <c r="C146" s="514" t="s">
        <v>1033</v>
      </c>
      <c r="D146" s="517"/>
      <c r="E146" s="517"/>
      <c r="F146" s="517"/>
      <c r="G146" s="517"/>
      <c r="H146" s="517"/>
      <c r="I146" s="517"/>
      <c r="J146" s="517"/>
      <c r="K146" s="514"/>
    </row>
    <row r="147" spans="1:11">
      <c r="A147" s="514" t="s">
        <v>833</v>
      </c>
      <c r="B147" s="514">
        <v>3</v>
      </c>
      <c r="C147" s="514" t="s">
        <v>1073</v>
      </c>
      <c r="D147" s="517"/>
      <c r="E147" s="517"/>
      <c r="F147" s="517"/>
      <c r="G147" s="517"/>
      <c r="H147" s="517"/>
      <c r="I147" s="517"/>
      <c r="J147" s="517"/>
      <c r="K147" s="514">
        <v>48.1</v>
      </c>
    </row>
    <row r="148" spans="1:11">
      <c r="A148" s="514" t="s">
        <v>834</v>
      </c>
      <c r="B148" s="514">
        <v>2</v>
      </c>
      <c r="C148" s="514" t="s">
        <v>1112</v>
      </c>
      <c r="D148" s="517"/>
      <c r="E148" s="517"/>
      <c r="F148" s="517"/>
      <c r="G148" s="517"/>
      <c r="H148" s="517"/>
      <c r="I148" s="517"/>
      <c r="J148" s="517"/>
      <c r="K148" s="514">
        <v>25.2</v>
      </c>
    </row>
    <row r="149" spans="1:11">
      <c r="A149" s="514" t="s">
        <v>835</v>
      </c>
      <c r="B149" s="514">
        <v>3</v>
      </c>
      <c r="C149" s="514" t="s">
        <v>1029</v>
      </c>
      <c r="D149" s="517"/>
      <c r="E149" s="517"/>
      <c r="F149" s="517"/>
      <c r="G149" s="517"/>
      <c r="H149" s="517"/>
      <c r="I149" s="517"/>
      <c r="J149" s="517"/>
      <c r="K149" s="514">
        <v>32.200000000000003</v>
      </c>
    </row>
    <row r="150" spans="1:11">
      <c r="A150" s="514" t="s">
        <v>836</v>
      </c>
      <c r="B150" s="514">
        <v>3</v>
      </c>
      <c r="C150" s="514" t="s">
        <v>1113</v>
      </c>
      <c r="D150" s="517"/>
      <c r="E150" s="517"/>
      <c r="F150" s="517"/>
      <c r="G150" s="517"/>
      <c r="H150" s="517"/>
      <c r="I150" s="517"/>
      <c r="J150" s="517"/>
      <c r="K150" s="514">
        <v>40.799999999999997</v>
      </c>
    </row>
    <row r="151" spans="1:11">
      <c r="A151" s="514" t="s">
        <v>837</v>
      </c>
      <c r="B151" s="514">
        <v>3</v>
      </c>
      <c r="C151" s="514" t="s">
        <v>1114</v>
      </c>
      <c r="D151" s="517"/>
      <c r="E151" s="517"/>
      <c r="F151" s="517"/>
      <c r="G151" s="517"/>
      <c r="H151" s="517"/>
      <c r="I151" s="517"/>
      <c r="J151" s="517"/>
      <c r="K151" s="514">
        <v>28.7</v>
      </c>
    </row>
    <row r="152" spans="1:11">
      <c r="A152" s="514" t="s">
        <v>838</v>
      </c>
      <c r="B152" s="514">
        <v>2</v>
      </c>
      <c r="C152" s="514" t="s">
        <v>1115</v>
      </c>
      <c r="D152" s="517"/>
      <c r="E152" s="517"/>
      <c r="F152" s="517"/>
      <c r="G152" s="517"/>
      <c r="H152" s="517"/>
      <c r="I152" s="517"/>
      <c r="J152" s="517"/>
      <c r="K152" s="514">
        <v>50.8</v>
      </c>
    </row>
    <row r="153" spans="1:11">
      <c r="A153" s="514" t="s">
        <v>839</v>
      </c>
      <c r="B153" s="514">
        <v>2</v>
      </c>
      <c r="C153" s="514" t="s">
        <v>1116</v>
      </c>
      <c r="D153" s="517"/>
      <c r="E153" s="517"/>
      <c r="F153" s="517"/>
      <c r="G153" s="517"/>
      <c r="H153" s="517"/>
      <c r="I153" s="517"/>
      <c r="J153" s="517"/>
      <c r="K153" s="514">
        <v>63.9</v>
      </c>
    </row>
    <row r="154" spans="1:11">
      <c r="A154" s="514" t="s">
        <v>840</v>
      </c>
      <c r="B154" s="514">
        <v>2</v>
      </c>
      <c r="C154" s="514" t="s">
        <v>1030</v>
      </c>
      <c r="D154" s="517"/>
      <c r="E154" s="517"/>
      <c r="F154" s="517"/>
      <c r="G154" s="517"/>
      <c r="H154" s="517"/>
      <c r="I154" s="517"/>
      <c r="J154" s="517"/>
      <c r="K154" s="514">
        <v>25.1</v>
      </c>
    </row>
    <row r="155" spans="1:11">
      <c r="A155" s="514" t="s">
        <v>841</v>
      </c>
      <c r="B155" s="514">
        <v>3</v>
      </c>
      <c r="C155" s="514" t="s">
        <v>1033</v>
      </c>
      <c r="D155" s="517"/>
      <c r="E155" s="517"/>
      <c r="F155" s="517"/>
      <c r="G155" s="517"/>
      <c r="H155" s="517"/>
      <c r="I155" s="517"/>
      <c r="J155" s="517"/>
      <c r="K155" s="514"/>
    </row>
    <row r="156" spans="1:11">
      <c r="A156" s="514" t="s">
        <v>842</v>
      </c>
      <c r="B156" s="514">
        <v>3</v>
      </c>
      <c r="C156" s="514" t="s">
        <v>1119</v>
      </c>
      <c r="D156" s="517"/>
      <c r="E156" s="517"/>
      <c r="F156" s="517"/>
      <c r="G156" s="517"/>
      <c r="H156" s="517"/>
      <c r="I156" s="517"/>
      <c r="J156" s="517"/>
      <c r="K156" s="514">
        <v>67.099999999999994</v>
      </c>
    </row>
    <row r="157" spans="1:11">
      <c r="A157" s="514" t="s">
        <v>843</v>
      </c>
      <c r="B157" s="514">
        <v>1</v>
      </c>
      <c r="C157" s="514" t="s">
        <v>1117</v>
      </c>
      <c r="D157" s="517"/>
      <c r="E157" s="517"/>
      <c r="F157" s="517"/>
      <c r="G157" s="517"/>
      <c r="H157" s="517"/>
      <c r="I157" s="517"/>
      <c r="J157" s="517"/>
      <c r="K157" s="514">
        <v>24.2</v>
      </c>
    </row>
    <row r="158" spans="1:11">
      <c r="A158" s="514" t="s">
        <v>57</v>
      </c>
      <c r="B158" s="514">
        <v>2</v>
      </c>
      <c r="C158" s="514" t="s">
        <v>1118</v>
      </c>
      <c r="D158" s="517"/>
      <c r="E158" s="517"/>
      <c r="F158" s="517"/>
      <c r="G158" s="517"/>
      <c r="H158" s="517"/>
      <c r="I158" s="517"/>
      <c r="J158" s="517"/>
      <c r="K158" s="514">
        <v>23.7</v>
      </c>
    </row>
    <row r="159" spans="1:11">
      <c r="A159" s="514" t="s">
        <v>844</v>
      </c>
      <c r="B159" s="514">
        <v>2</v>
      </c>
      <c r="C159" s="514" t="s">
        <v>1031</v>
      </c>
      <c r="D159" s="517"/>
      <c r="E159" s="517"/>
      <c r="F159" s="517"/>
      <c r="G159" s="517"/>
      <c r="H159" s="517"/>
      <c r="I159" s="517"/>
      <c r="J159" s="517"/>
      <c r="K159" s="516">
        <v>30.6</v>
      </c>
    </row>
    <row r="161" spans="1:1">
      <c r="A161" s="471" t="s">
        <v>1186</v>
      </c>
    </row>
    <row r="162" spans="1:1">
      <c r="A162" s="473" t="s">
        <v>694</v>
      </c>
    </row>
    <row r="163" spans="1:1">
      <c r="A163" s="473" t="s">
        <v>1187</v>
      </c>
    </row>
    <row r="164" spans="1:1">
      <c r="A164" s="473" t="s">
        <v>1188</v>
      </c>
    </row>
    <row r="165" spans="1:1">
      <c r="A165" s="473" t="s">
        <v>1189</v>
      </c>
    </row>
    <row r="166" spans="1:1">
      <c r="A166" s="471"/>
    </row>
  </sheetData>
  <sheetProtection formatCells="0" formatColumns="0" formatRows="0"/>
  <hyperlinks>
    <hyperlink ref="A163" r:id="rId1" xr:uid="{97BC4B4A-124D-4852-AFD0-19B38501EBAC}"/>
    <hyperlink ref="A162" r:id="rId2" xr:uid="{B2739741-9C1C-4235-98FB-53F81E870226}"/>
    <hyperlink ref="A164" r:id="rId3" xr:uid="{D2568507-6C25-49D8-B17C-25D56F297EC2}"/>
    <hyperlink ref="A165" r:id="rId4" xr:uid="{F4B3BB65-572D-4CFD-9C30-A31DEA05BC43}"/>
  </hyperlinks>
  <pageMargins left="0.7" right="0.7" top="0.75" bottom="0.75" header="0.3" footer="0.3"/>
  <tableParts count="1">
    <tablePart r:id="rId5"/>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0F242-46FD-4E01-836D-B8A2E4F4AB7D}">
  <sheetPr codeName="Sheet24">
    <tabColor rgb="FF0563C1"/>
  </sheetPr>
  <dimension ref="A1:F35"/>
  <sheetViews>
    <sheetView zoomScaleNormal="100" workbookViewId="0">
      <selection activeCell="F8" sqref="F8"/>
    </sheetView>
  </sheetViews>
  <sheetFormatPr defaultColWidth="8.5703125" defaultRowHeight="15"/>
  <cols>
    <col min="1" max="1" width="13.42578125" style="315" customWidth="1"/>
    <col min="2" max="2" width="25.140625" style="315" customWidth="1"/>
    <col min="3" max="3" width="18.5703125" style="315" customWidth="1"/>
    <col min="4" max="4" width="17.42578125" style="315" bestFit="1" customWidth="1"/>
    <col min="5" max="5" width="16.42578125" style="315" customWidth="1"/>
    <col min="6" max="16384" width="8.5703125" style="315"/>
  </cols>
  <sheetData>
    <row r="1" spans="1:4" ht="8.4499999999999993" customHeight="1" thickBot="1"/>
    <row r="2" spans="1:4" ht="15.75" thickBot="1">
      <c r="A2" s="520" t="s">
        <v>1177</v>
      </c>
      <c r="B2" s="521">
        <f>'Scope of implementation'!C7</f>
        <v>0</v>
      </c>
    </row>
    <row r="3" spans="1:4">
      <c r="A3" s="557" t="s">
        <v>1176</v>
      </c>
    </row>
    <row r="4" spans="1:4" ht="128.44999999999999" customHeight="1">
      <c r="A4" s="1040" t="s">
        <v>1380</v>
      </c>
      <c r="B4" s="1040"/>
      <c r="C4" s="1040"/>
      <c r="D4" s="1040"/>
    </row>
    <row r="5" spans="1:4" ht="15.75" thickBot="1"/>
    <row r="6" spans="1:4">
      <c r="A6" s="1041" t="s">
        <v>1203</v>
      </c>
      <c r="B6" s="1042"/>
      <c r="C6" s="1042"/>
      <c r="D6" s="1043"/>
    </row>
    <row r="7" spans="1:4">
      <c r="A7" s="545" t="s">
        <v>1199</v>
      </c>
      <c r="B7" s="518" t="s">
        <v>1200</v>
      </c>
      <c r="C7" s="518" t="s">
        <v>1201</v>
      </c>
      <c r="D7" s="546" t="s">
        <v>1202</v>
      </c>
    </row>
    <row r="8" spans="1:4" ht="30">
      <c r="A8" s="547" t="s">
        <v>1192</v>
      </c>
      <c r="B8" s="519" t="s">
        <v>1175</v>
      </c>
      <c r="C8" s="538" t="e">
        <f>((INDEX(Table1[Multiplier],MATCH('Salary input data '!B2,Table1[Country],0))*C23)/100)+C23</f>
        <v>#N/A</v>
      </c>
      <c r="D8" s="548" t="e">
        <f>((INDEX(Table1[Multiplier],MATCH('Salary input data '!B2,Table1[Country],0))*C24)/100)+C24</f>
        <v>#N/A</v>
      </c>
    </row>
    <row r="9" spans="1:4" ht="44.45" customHeight="1">
      <c r="A9" s="547" t="s">
        <v>1194</v>
      </c>
      <c r="B9" s="519" t="s">
        <v>1174</v>
      </c>
      <c r="C9" s="538" t="e">
        <f>((INDEX(Table1[Multiplier],MATCH('Salary input data '!B2,Table1[Country],0))*C24)/100)+C24</f>
        <v>#N/A</v>
      </c>
      <c r="D9" s="548" t="e">
        <f>((INDEX(Table1[Multiplier],MATCH('Salary input data '!B2,Table1[Country],0))*C25)/100)+C25</f>
        <v>#N/A</v>
      </c>
    </row>
    <row r="10" spans="1:4" ht="30">
      <c r="A10" s="547" t="s">
        <v>1197</v>
      </c>
      <c r="B10" s="519" t="s">
        <v>1173</v>
      </c>
      <c r="C10" s="538" t="e">
        <f>((INDEX(Table1[Multiplier],MATCH('Salary input data '!B2,Table1[Country],0))*C27)/100)+C27</f>
        <v>#N/A</v>
      </c>
      <c r="D10" s="548" t="e">
        <f>((INDEX(Table1[Multiplier],MATCH('Salary input data '!B2,Table1[Country],0))*C28)/100)+C28</f>
        <v>#N/A</v>
      </c>
    </row>
    <row r="11" spans="1:4" ht="42.95" customHeight="1">
      <c r="A11" s="547" t="s">
        <v>1305</v>
      </c>
      <c r="B11" s="519" t="s">
        <v>1173</v>
      </c>
      <c r="C11" s="538" t="e">
        <f>((INDEX(Table1[Multiplier],MATCH('Salary input data '!B2,Table1[Country],0))*C27)/100)+C27</f>
        <v>#N/A</v>
      </c>
      <c r="D11" s="548" t="e">
        <f>((INDEX(Table1[Multiplier],MATCH('Salary input data '!B2,Table1[Country],0))*C28)/100)+C28</f>
        <v>#N/A</v>
      </c>
    </row>
    <row r="12" spans="1:4" ht="30">
      <c r="A12" s="547" t="s">
        <v>1198</v>
      </c>
      <c r="B12" s="519" t="s">
        <v>1173</v>
      </c>
      <c r="C12" s="538" t="e">
        <f>((INDEX(Table1[Multiplier],MATCH('Salary input data '!B2,Table1[Country],0))*C27)/100)+C27</f>
        <v>#N/A</v>
      </c>
      <c r="D12" s="548" t="e">
        <f>((INDEX(Table1[Multiplier],MATCH('Salary input data '!B2,Table1[Country],0))*C28)/100)+C28</f>
        <v>#N/A</v>
      </c>
    </row>
    <row r="13" spans="1:4" ht="30">
      <c r="A13" s="547" t="s">
        <v>1193</v>
      </c>
      <c r="B13" s="519" t="s">
        <v>1173</v>
      </c>
      <c r="C13" s="538" t="e">
        <f>((INDEX(Table1[Multiplier],MATCH('Salary input data '!B2,Table1[Country],0))*C27)/100)+C27</f>
        <v>#N/A</v>
      </c>
      <c r="D13" s="548" t="e">
        <f>((INDEX(Table1[Multiplier],MATCH('Salary input data '!B2,Table1[Country],0))*C28)/100)+C28</f>
        <v>#N/A</v>
      </c>
    </row>
    <row r="14" spans="1:4" ht="30">
      <c r="A14" s="547" t="s">
        <v>1191</v>
      </c>
      <c r="B14" s="519" t="s">
        <v>1172</v>
      </c>
      <c r="C14" s="538" t="e">
        <f>((INDEX(Table1[Multiplier],MATCH('Salary input data '!B2,Table1[Country],0))*C29)/100)+C29</f>
        <v>#N/A</v>
      </c>
      <c r="D14" s="548" t="e">
        <f>((INDEX(Table1[Multiplier],MATCH('Salary input data '!B2,Table1[Country],0))*C30)/100)+C30</f>
        <v>#N/A</v>
      </c>
    </row>
    <row r="15" spans="1:4" ht="30">
      <c r="A15" s="547" t="s">
        <v>1196</v>
      </c>
      <c r="B15" s="519" t="s">
        <v>1172</v>
      </c>
      <c r="C15" s="538" t="e">
        <f>((INDEX(Table1[Multiplier],MATCH('Salary input data '!B2,Table1[Country],0))*C29)/100)+C29</f>
        <v>#N/A</v>
      </c>
      <c r="D15" s="548" t="e">
        <f>((INDEX(Table1[Multiplier],MATCH('Salary input data '!B2,Table1[Country],0))*C30)/100)+C30</f>
        <v>#N/A</v>
      </c>
    </row>
    <row r="16" spans="1:4" ht="45">
      <c r="A16" s="547" t="s">
        <v>1306</v>
      </c>
      <c r="B16" s="519" t="s">
        <v>1172</v>
      </c>
      <c r="C16" s="538" t="e">
        <f>((INDEX(Table1[Multiplier],MATCH('Salary input data '!B2,Table1[Country],0))*C29)/100)+C29</f>
        <v>#N/A</v>
      </c>
      <c r="D16" s="548" t="e">
        <f>((INDEX(Table1[Multiplier],MATCH('Salary input data '!B2,Table1[Country],0))*C30)/100)+C30</f>
        <v>#N/A</v>
      </c>
    </row>
    <row r="17" spans="1:6" ht="30">
      <c r="A17" s="547" t="s">
        <v>1190</v>
      </c>
      <c r="B17" s="519" t="s">
        <v>1172</v>
      </c>
      <c r="C17" s="538" t="e">
        <f>((INDEX(Table1[Multiplier],MATCH('Salary input data '!B2,Table1[Country],0))*C29)/100)+C29</f>
        <v>#N/A</v>
      </c>
      <c r="D17" s="548" t="e">
        <f>((INDEX(Table1[Multiplier],MATCH('Salary input data '!B2,Table1[Country],0))*C30)/100)+C30</f>
        <v>#N/A</v>
      </c>
    </row>
    <row r="18" spans="1:6" ht="30.75" thickBot="1">
      <c r="A18" s="549" t="s">
        <v>1195</v>
      </c>
      <c r="B18" s="550" t="s">
        <v>1172</v>
      </c>
      <c r="C18" s="551" t="e">
        <f>((INDEX(Table1[Multiplier],MATCH('Salary input data '!B2,Table1[Country],0))*C29)/100)+C29</f>
        <v>#N/A</v>
      </c>
      <c r="D18" s="552" t="e">
        <f>((INDEX(Table1[Multiplier],MATCH('Salary input data '!B2,Table1[Country],0))*C30)/100)+C30</f>
        <v>#N/A</v>
      </c>
    </row>
    <row r="20" spans="1:6">
      <c r="A20" s="1047" t="s">
        <v>1303</v>
      </c>
      <c r="B20" s="1048"/>
      <c r="C20" s="1048"/>
      <c r="D20" s="1048"/>
      <c r="E20" s="1048"/>
    </row>
    <row r="21" spans="1:6" ht="45">
      <c r="A21" s="536"/>
      <c r="B21" s="519" t="s">
        <v>1298</v>
      </c>
      <c r="C21" s="519" t="s">
        <v>1378</v>
      </c>
      <c r="D21" s="519" t="s">
        <v>1376</v>
      </c>
      <c r="E21" s="519" t="s">
        <v>1379</v>
      </c>
      <c r="F21" s="479"/>
    </row>
    <row r="22" spans="1:6">
      <c r="A22" s="542" t="s">
        <v>1304</v>
      </c>
      <c r="B22" s="582"/>
      <c r="C22" s="582"/>
      <c r="D22" s="582"/>
      <c r="E22" s="584"/>
      <c r="F22" s="479"/>
    </row>
    <row r="23" spans="1:6" ht="45">
      <c r="A23" s="581" t="s">
        <v>1307</v>
      </c>
      <c r="B23" s="591" t="s">
        <v>70</v>
      </c>
      <c r="C23" s="592">
        <v>31255.020993999999</v>
      </c>
      <c r="D23" s="583" t="e">
        <f>((INDEX(Table1[Multiplier],MATCH('Salary input data '!$B$2,Table1[Country],0))/100))</f>
        <v>#N/A</v>
      </c>
      <c r="E23" s="563" t="e">
        <f>(C23*D23)+C23</f>
        <v>#N/A</v>
      </c>
      <c r="F23" s="479"/>
    </row>
    <row r="24" spans="1:6" ht="45">
      <c r="A24" s="519" t="s">
        <v>1308</v>
      </c>
      <c r="B24" s="593" t="s">
        <v>70</v>
      </c>
      <c r="C24" s="594">
        <v>37656.6518</v>
      </c>
      <c r="D24" s="583" t="e">
        <f>((INDEX(Table1[Multiplier],MATCH('Salary input data '!$B$2,Table1[Country],0))/100))</f>
        <v>#N/A</v>
      </c>
      <c r="E24" s="563" t="e">
        <f>(C24*D24)+C24</f>
        <v>#N/A</v>
      </c>
      <c r="F24" s="479"/>
    </row>
    <row r="25" spans="1:6" ht="60">
      <c r="A25" s="519" t="s">
        <v>1309</v>
      </c>
      <c r="B25" s="593" t="s">
        <v>70</v>
      </c>
      <c r="C25" s="594">
        <v>45369.46</v>
      </c>
      <c r="D25" s="583" t="e">
        <f>((INDEX(Table1[Multiplier],MATCH('Salary input data '!$B$2,Table1[Country],0))/100))</f>
        <v>#N/A</v>
      </c>
      <c r="E25" s="563" t="e">
        <f>(C25*D25)+C25</f>
        <v>#N/A</v>
      </c>
      <c r="F25" s="479"/>
    </row>
    <row r="26" spans="1:6" ht="14.45" customHeight="1">
      <c r="A26" s="542" t="s">
        <v>1297</v>
      </c>
      <c r="B26" s="595"/>
      <c r="C26" s="595"/>
      <c r="D26" s="543"/>
      <c r="E26" s="544"/>
      <c r="F26" s="479"/>
    </row>
    <row r="27" spans="1:6">
      <c r="A27" s="1044" t="s">
        <v>1300</v>
      </c>
      <c r="B27" s="596" t="s">
        <v>1204</v>
      </c>
      <c r="C27" s="597">
        <v>54662</v>
      </c>
      <c r="D27" s="585" t="e">
        <f>((INDEX(Table1[Multiplier],MATCH('Salary input data '!$B$2,Table1[Country],0))/100))</f>
        <v>#N/A</v>
      </c>
      <c r="E27" s="588" t="e">
        <f>(C27*D27)+C27</f>
        <v>#N/A</v>
      </c>
      <c r="F27" s="479"/>
    </row>
    <row r="28" spans="1:6">
      <c r="A28" s="1045"/>
      <c r="B28" s="598" t="s">
        <v>1205</v>
      </c>
      <c r="C28" s="599">
        <v>70268</v>
      </c>
      <c r="D28" s="586" t="e">
        <f>((INDEX(Table1[Multiplier],MATCH('Salary input data '!$B$2,Table1[Country],0))/100))</f>
        <v>#N/A</v>
      </c>
      <c r="E28" s="589" t="e">
        <f>(C28*D28)+C28</f>
        <v>#N/A</v>
      </c>
      <c r="F28" s="479"/>
    </row>
    <row r="29" spans="1:6">
      <c r="A29" s="1045"/>
      <c r="B29" s="598" t="s">
        <v>1206</v>
      </c>
      <c r="C29" s="599">
        <v>89039</v>
      </c>
      <c r="D29" s="586" t="e">
        <f>((INDEX(Table1[Multiplier],MATCH('Salary input data '!$B$2,Table1[Country],0))/100))</f>
        <v>#N/A</v>
      </c>
      <c r="E29" s="589" t="e">
        <f>(C29*D29)+C29</f>
        <v>#N/A</v>
      </c>
    </row>
    <row r="30" spans="1:6">
      <c r="A30" s="1046"/>
      <c r="B30" s="600" t="s">
        <v>1207</v>
      </c>
      <c r="C30" s="601">
        <v>107420</v>
      </c>
      <c r="D30" s="587" t="e">
        <f>((INDEX(Table1[Multiplier],MATCH('Salary input data '!$B$2,Table1[Country],0))/100))</f>
        <v>#N/A</v>
      </c>
      <c r="E30" s="590" t="e">
        <f>(C30*D30)+C30</f>
        <v>#N/A</v>
      </c>
    </row>
    <row r="31" spans="1:6">
      <c r="A31" s="471" t="s">
        <v>1377</v>
      </c>
      <c r="C31" s="580"/>
    </row>
    <row r="33" spans="1:1">
      <c r="A33" s="471" t="s">
        <v>1186</v>
      </c>
    </row>
    <row r="34" spans="1:1">
      <c r="A34" s="473" t="s">
        <v>1188</v>
      </c>
    </row>
    <row r="35" spans="1:1">
      <c r="A35" s="473" t="s">
        <v>1189</v>
      </c>
    </row>
  </sheetData>
  <sheetProtection formatCells="0" formatColumns="0" formatRows="0"/>
  <mergeCells count="4">
    <mergeCell ref="A4:D4"/>
    <mergeCell ref="A6:D6"/>
    <mergeCell ref="A27:A30"/>
    <mergeCell ref="A20:E20"/>
  </mergeCells>
  <hyperlinks>
    <hyperlink ref="A34" r:id="rId1" xr:uid="{D8B73AF8-8744-4C6B-AD93-01053CFDCF22}"/>
    <hyperlink ref="A35" r:id="rId2" xr:uid="{08400777-5AE0-444F-A260-4EC32C12A4BE}"/>
  </hyperlinks>
  <pageMargins left="0.7" right="0.7" top="0.75" bottom="0.75" header="0.3" footer="0.3"/>
  <ignoredErrors>
    <ignoredError sqref="C13:D13" formula="1"/>
  </ignoredError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69BA1-183A-41E4-ACDD-12587D0E0DC5}">
  <sheetPr codeName="Sheet25"/>
  <dimension ref="A1:C45"/>
  <sheetViews>
    <sheetView topLeftCell="A10" workbookViewId="0">
      <selection activeCell="C23" sqref="C23"/>
    </sheetView>
  </sheetViews>
  <sheetFormatPr defaultColWidth="8.85546875" defaultRowHeight="15"/>
  <cols>
    <col min="1" max="1" width="26.140625" customWidth="1"/>
    <col min="2" max="2" width="62.85546875" style="288" customWidth="1"/>
    <col min="3" max="3" width="74.42578125" customWidth="1"/>
  </cols>
  <sheetData>
    <row r="1" spans="1:3">
      <c r="A1" s="291" t="s">
        <v>252</v>
      </c>
      <c r="B1" s="292"/>
      <c r="C1" s="291" t="s">
        <v>261</v>
      </c>
    </row>
    <row r="2" spans="1:3">
      <c r="A2" s="1049" t="s">
        <v>251</v>
      </c>
      <c r="B2" s="1049"/>
      <c r="C2" s="1049"/>
    </row>
    <row r="3" spans="1:3">
      <c r="A3" t="s">
        <v>253</v>
      </c>
    </row>
    <row r="4" spans="1:3" ht="60">
      <c r="B4" s="288" t="s">
        <v>272</v>
      </c>
      <c r="C4" s="288" t="s">
        <v>270</v>
      </c>
    </row>
    <row r="5" spans="1:3" ht="60">
      <c r="B5" s="288" t="s">
        <v>273</v>
      </c>
      <c r="C5" s="288" t="s">
        <v>271</v>
      </c>
    </row>
    <row r="6" spans="1:3">
      <c r="B6" s="288" t="s">
        <v>254</v>
      </c>
    </row>
    <row r="7" spans="1:3">
      <c r="B7" s="288" t="s">
        <v>255</v>
      </c>
    </row>
    <row r="8" spans="1:3">
      <c r="B8" s="288" t="s">
        <v>256</v>
      </c>
    </row>
    <row r="9" spans="1:3">
      <c r="B9" s="288" t="s">
        <v>257</v>
      </c>
    </row>
    <row r="10" spans="1:3">
      <c r="B10" s="288" t="s">
        <v>274</v>
      </c>
    </row>
    <row r="11" spans="1:3">
      <c r="B11" s="288" t="s">
        <v>258</v>
      </c>
    </row>
    <row r="12" spans="1:3">
      <c r="A12" s="293"/>
      <c r="B12" s="294" t="s">
        <v>275</v>
      </c>
      <c r="C12" s="293"/>
    </row>
    <row r="13" spans="1:3">
      <c r="A13" s="295" t="s">
        <v>259</v>
      </c>
      <c r="B13" s="296"/>
      <c r="C13" s="295"/>
    </row>
    <row r="14" spans="1:3">
      <c r="B14" s="288" t="s">
        <v>262</v>
      </c>
      <c r="C14" t="s">
        <v>382</v>
      </c>
    </row>
    <row r="15" spans="1:3">
      <c r="B15" s="288" t="s">
        <v>263</v>
      </c>
    </row>
    <row r="16" spans="1:3" ht="60">
      <c r="B16" s="288" t="s">
        <v>264</v>
      </c>
      <c r="C16" s="288" t="s">
        <v>465</v>
      </c>
    </row>
    <row r="17" spans="1:3">
      <c r="A17" s="1050" t="s">
        <v>276</v>
      </c>
      <c r="B17" s="1050"/>
      <c r="C17" s="1050"/>
    </row>
    <row r="18" spans="1:3" ht="30">
      <c r="B18" s="288" t="s">
        <v>265</v>
      </c>
      <c r="C18" s="288" t="s">
        <v>266</v>
      </c>
    </row>
    <row r="19" spans="1:3">
      <c r="B19" s="288" t="s">
        <v>267</v>
      </c>
    </row>
    <row r="20" spans="1:3">
      <c r="B20" s="288" t="s">
        <v>268</v>
      </c>
      <c r="C20" t="s">
        <v>269</v>
      </c>
    </row>
    <row r="21" spans="1:3">
      <c r="B21" s="288" t="s">
        <v>352</v>
      </c>
      <c r="C21" t="s">
        <v>353</v>
      </c>
    </row>
    <row r="22" spans="1:3" ht="75">
      <c r="B22" s="288" t="s">
        <v>387</v>
      </c>
      <c r="C22" s="288" t="s">
        <v>405</v>
      </c>
    </row>
    <row r="23" spans="1:3" ht="120">
      <c r="B23" s="288" t="s">
        <v>403</v>
      </c>
      <c r="C23" s="288" t="s">
        <v>404</v>
      </c>
    </row>
    <row r="24" spans="1:3" ht="75">
      <c r="B24" s="288" t="s">
        <v>401</v>
      </c>
      <c r="C24" s="288" t="s">
        <v>402</v>
      </c>
    </row>
    <row r="25" spans="1:3" ht="120">
      <c r="A25" s="293"/>
      <c r="B25" s="294" t="s">
        <v>260</v>
      </c>
      <c r="C25" s="294" t="s">
        <v>383</v>
      </c>
    </row>
    <row r="26" spans="1:3">
      <c r="A26" s="1049" t="s">
        <v>277</v>
      </c>
      <c r="B26" s="1049"/>
      <c r="C26" s="1049"/>
    </row>
    <row r="27" spans="1:3" ht="90">
      <c r="A27" s="297" t="s">
        <v>409</v>
      </c>
      <c r="B27" s="298" t="s">
        <v>393</v>
      </c>
      <c r="C27" s="298" t="s">
        <v>391</v>
      </c>
    </row>
    <row r="28" spans="1:3" ht="30">
      <c r="A28" s="288" t="s">
        <v>421</v>
      </c>
      <c r="B28" s="288" t="s">
        <v>410</v>
      </c>
      <c r="C28" s="288" t="s">
        <v>394</v>
      </c>
    </row>
    <row r="29" spans="1:3">
      <c r="A29" s="289"/>
      <c r="B29" s="288" t="s">
        <v>411</v>
      </c>
      <c r="C29" s="288" t="s">
        <v>392</v>
      </c>
    </row>
    <row r="30" spans="1:3" ht="30">
      <c r="A30" s="289"/>
      <c r="B30" s="288" t="s">
        <v>412</v>
      </c>
      <c r="C30" s="288" t="s">
        <v>395</v>
      </c>
    </row>
    <row r="31" spans="1:3" ht="60">
      <c r="A31" s="289"/>
      <c r="B31" s="288" t="s">
        <v>413</v>
      </c>
      <c r="C31" s="288" t="s">
        <v>396</v>
      </c>
    </row>
    <row r="32" spans="1:3" ht="30">
      <c r="A32" s="289"/>
      <c r="B32" s="288" t="s">
        <v>414</v>
      </c>
      <c r="C32" s="288" t="s">
        <v>397</v>
      </c>
    </row>
    <row r="33" spans="1:3" ht="90">
      <c r="A33" s="289"/>
      <c r="B33" s="288" t="s">
        <v>415</v>
      </c>
      <c r="C33" s="288" t="s">
        <v>398</v>
      </c>
    </row>
    <row r="34" spans="1:3" ht="30">
      <c r="A34" s="289"/>
      <c r="B34" s="288" t="s">
        <v>416</v>
      </c>
      <c r="C34" s="288" t="s">
        <v>400</v>
      </c>
    </row>
    <row r="35" spans="1:3" ht="45">
      <c r="A35" s="289"/>
      <c r="B35" s="288" t="s">
        <v>417</v>
      </c>
      <c r="C35" s="288" t="s">
        <v>408</v>
      </c>
    </row>
    <row r="36" spans="1:3">
      <c r="A36" s="289"/>
      <c r="B36" s="288" t="s">
        <v>418</v>
      </c>
      <c r="C36" s="288"/>
    </row>
    <row r="37" spans="1:3">
      <c r="A37" s="289"/>
      <c r="B37" s="288" t="s">
        <v>419</v>
      </c>
      <c r="C37" s="288" t="s">
        <v>407</v>
      </c>
    </row>
    <row r="38" spans="1:3" ht="30">
      <c r="A38" s="299"/>
      <c r="B38" s="294" t="s">
        <v>420</v>
      </c>
      <c r="C38" s="294" t="s">
        <v>406</v>
      </c>
    </row>
    <row r="39" spans="1:3" ht="45">
      <c r="A39" s="294" t="s">
        <v>488</v>
      </c>
      <c r="B39" s="294" t="s">
        <v>489</v>
      </c>
      <c r="C39" s="294" t="s">
        <v>490</v>
      </c>
    </row>
    <row r="40" spans="1:3" ht="75">
      <c r="A40" s="294" t="s">
        <v>422</v>
      </c>
      <c r="B40" s="294" t="s">
        <v>390</v>
      </c>
      <c r="C40" s="294" t="s">
        <v>388</v>
      </c>
    </row>
    <row r="41" spans="1:3">
      <c r="A41" s="1050" t="s">
        <v>389</v>
      </c>
      <c r="B41" s="1050"/>
      <c r="C41" s="1050"/>
    </row>
    <row r="42" spans="1:3">
      <c r="A42" s="300"/>
      <c r="B42" s="298" t="s">
        <v>399</v>
      </c>
      <c r="C42" s="301"/>
    </row>
    <row r="43" spans="1:3">
      <c r="A43" s="1050" t="s">
        <v>384</v>
      </c>
      <c r="B43" s="1050"/>
      <c r="C43" s="1050"/>
    </row>
    <row r="44" spans="1:3" ht="30">
      <c r="A44" t="s">
        <v>491</v>
      </c>
      <c r="B44" s="288" t="s">
        <v>385</v>
      </c>
      <c r="C44" s="288" t="s">
        <v>386</v>
      </c>
    </row>
    <row r="45" spans="1:3" ht="30">
      <c r="A45" s="288" t="s">
        <v>494</v>
      </c>
      <c r="B45" s="288" t="s">
        <v>495</v>
      </c>
      <c r="C45" t="s">
        <v>496</v>
      </c>
    </row>
  </sheetData>
  <mergeCells count="5">
    <mergeCell ref="A2:C2"/>
    <mergeCell ref="A17:C17"/>
    <mergeCell ref="A26:C26"/>
    <mergeCell ref="A41:C41"/>
    <mergeCell ref="A43:C43"/>
  </mergeCells>
  <pageMargins left="0.7" right="0.7" top="0.75" bottom="0.75" header="0.3" footer="0.3"/>
  <pageSetup orientation="portrait"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3D3B2-77F0-4A8E-87FD-EDFDDFE2AE10}">
  <sheetPr codeName="Sheet26">
    <tabColor rgb="FF0563C1"/>
  </sheetPr>
  <dimension ref="A1:F23"/>
  <sheetViews>
    <sheetView zoomScaleNormal="100" workbookViewId="0">
      <selection activeCell="K18" sqref="K18"/>
    </sheetView>
  </sheetViews>
  <sheetFormatPr defaultColWidth="8.5703125" defaultRowHeight="15"/>
  <cols>
    <col min="1" max="1" width="32.140625" style="435" customWidth="1"/>
    <col min="2" max="2" width="27.5703125" style="315" customWidth="1"/>
    <col min="3" max="3" width="51.5703125" style="315" customWidth="1"/>
    <col min="4" max="4" width="31.42578125" style="315" bestFit="1" customWidth="1"/>
    <col min="5" max="16384" width="8.5703125" style="315"/>
  </cols>
  <sheetData>
    <row r="1" spans="1:6">
      <c r="A1" s="510" t="s">
        <v>1127</v>
      </c>
      <c r="B1" s="510" t="s">
        <v>994</v>
      </c>
      <c r="C1" s="510" t="s">
        <v>1130</v>
      </c>
      <c r="D1" s="510" t="s">
        <v>1131</v>
      </c>
    </row>
    <row r="2" spans="1:6">
      <c r="A2" s="366" t="s">
        <v>1128</v>
      </c>
      <c r="B2" s="511">
        <v>0.03</v>
      </c>
      <c r="C2" s="512" t="s">
        <v>956</v>
      </c>
      <c r="D2" s="539"/>
      <c r="E2" s="471"/>
      <c r="F2" s="471"/>
    </row>
    <row r="3" spans="1:6" ht="30">
      <c r="A3" s="366" t="s">
        <v>1129</v>
      </c>
      <c r="B3" s="511">
        <v>0.2</v>
      </c>
      <c r="C3" s="512" t="s">
        <v>957</v>
      </c>
      <c r="D3" s="539"/>
      <c r="E3" s="471"/>
      <c r="F3" s="471"/>
    </row>
    <row r="4" spans="1:6" ht="30">
      <c r="A4" s="366" t="s">
        <v>1132</v>
      </c>
      <c r="B4" s="366" t="s">
        <v>1134</v>
      </c>
      <c r="C4" s="539"/>
      <c r="D4" s="540" t="s">
        <v>1136</v>
      </c>
      <c r="E4" s="471"/>
      <c r="F4" s="471"/>
    </row>
    <row r="5" spans="1:6" ht="30">
      <c r="A5" s="366"/>
      <c r="B5" s="366" t="s">
        <v>1133</v>
      </c>
      <c r="C5" s="539"/>
      <c r="D5" s="540" t="s">
        <v>1136</v>
      </c>
      <c r="E5" s="471"/>
      <c r="F5" s="471"/>
    </row>
    <row r="6" spans="1:6" ht="30">
      <c r="A6" s="366"/>
      <c r="B6" s="366" t="s">
        <v>1135</v>
      </c>
      <c r="C6" s="539"/>
      <c r="D6" s="540" t="s">
        <v>1136</v>
      </c>
      <c r="E6" s="471"/>
      <c r="F6" s="471"/>
    </row>
    <row r="7" spans="1:6" ht="45">
      <c r="A7" s="366" t="s">
        <v>1137</v>
      </c>
      <c r="B7" s="366" t="s">
        <v>1138</v>
      </c>
      <c r="C7" s="541" t="s">
        <v>1141</v>
      </c>
      <c r="D7" s="539"/>
      <c r="E7" s="471"/>
      <c r="F7" s="471"/>
    </row>
    <row r="8" spans="1:6">
      <c r="A8" s="366"/>
      <c r="B8" s="366" t="s">
        <v>1139</v>
      </c>
      <c r="C8" s="539"/>
      <c r="D8" s="540" t="s">
        <v>1136</v>
      </c>
      <c r="E8" s="471"/>
      <c r="F8" s="471"/>
    </row>
    <row r="9" spans="1:6">
      <c r="A9" s="366" t="s">
        <v>1143</v>
      </c>
      <c r="B9" s="366" t="s">
        <v>1144</v>
      </c>
      <c r="C9" s="539"/>
      <c r="D9" s="540" t="s">
        <v>1136</v>
      </c>
      <c r="E9" s="471"/>
      <c r="F9" s="471"/>
    </row>
    <row r="10" spans="1:6">
      <c r="A10" s="366" t="s">
        <v>1145</v>
      </c>
      <c r="B10" s="366" t="s">
        <v>1144</v>
      </c>
      <c r="C10" s="539"/>
      <c r="D10" s="540" t="s">
        <v>1136</v>
      </c>
      <c r="E10" s="471"/>
      <c r="F10" s="471"/>
    </row>
    <row r="11" spans="1:6" ht="45">
      <c r="A11" s="366" t="s">
        <v>1146</v>
      </c>
      <c r="B11" s="366" t="s">
        <v>1147</v>
      </c>
      <c r="C11" s="541" t="s">
        <v>1141</v>
      </c>
      <c r="D11" s="539"/>
      <c r="E11" s="471"/>
      <c r="F11" s="471"/>
    </row>
    <row r="12" spans="1:6">
      <c r="A12" s="366" t="s">
        <v>1149</v>
      </c>
      <c r="B12" s="366" t="s">
        <v>1150</v>
      </c>
      <c r="C12" s="539"/>
      <c r="D12" s="540" t="s">
        <v>1136</v>
      </c>
      <c r="E12" s="471"/>
      <c r="F12" s="471"/>
    </row>
    <row r="13" spans="1:6" ht="30">
      <c r="A13" s="366" t="s">
        <v>1151</v>
      </c>
      <c r="B13" s="513" t="s">
        <v>1152</v>
      </c>
      <c r="C13" s="512" t="s">
        <v>961</v>
      </c>
      <c r="D13" s="539"/>
      <c r="E13" s="471"/>
      <c r="F13" s="471"/>
    </row>
    <row r="14" spans="1:6">
      <c r="A14" s="366" t="s">
        <v>1156</v>
      </c>
      <c r="B14" s="366" t="s">
        <v>1158</v>
      </c>
      <c r="C14" s="512" t="s">
        <v>961</v>
      </c>
      <c r="D14" s="539"/>
      <c r="E14" s="471"/>
      <c r="F14" s="471"/>
    </row>
    <row r="15" spans="1:6">
      <c r="A15" s="366"/>
      <c r="B15" s="366" t="s">
        <v>1157</v>
      </c>
      <c r="C15" s="539"/>
      <c r="D15" s="540" t="s">
        <v>1136</v>
      </c>
      <c r="E15" s="471"/>
      <c r="F15" s="471"/>
    </row>
    <row r="16" spans="1:6" ht="30">
      <c r="A16" s="366" t="s">
        <v>1167</v>
      </c>
      <c r="B16" s="366" t="s">
        <v>1168</v>
      </c>
      <c r="C16" s="512" t="s">
        <v>961</v>
      </c>
      <c r="D16" s="540"/>
      <c r="E16" s="471"/>
      <c r="F16" s="471"/>
    </row>
    <row r="17" spans="1:6" ht="30">
      <c r="A17" s="366"/>
      <c r="B17" s="366" t="s">
        <v>1169</v>
      </c>
      <c r="C17" s="512"/>
      <c r="D17" s="540" t="s">
        <v>1136</v>
      </c>
      <c r="E17" s="471"/>
      <c r="F17" s="471"/>
    </row>
    <row r="18" spans="1:6">
      <c r="A18" s="366" t="s">
        <v>1160</v>
      </c>
      <c r="B18" s="366" t="s">
        <v>1161</v>
      </c>
      <c r="C18" s="539"/>
      <c r="D18" s="540" t="s">
        <v>1162</v>
      </c>
      <c r="E18" s="471"/>
      <c r="F18" s="471"/>
    </row>
    <row r="19" spans="1:6" ht="30">
      <c r="A19" s="366"/>
      <c r="B19" s="366" t="s">
        <v>1134</v>
      </c>
      <c r="C19" s="539"/>
      <c r="D19" s="540" t="s">
        <v>1136</v>
      </c>
      <c r="E19" s="471"/>
      <c r="F19" s="471"/>
    </row>
    <row r="20" spans="1:6" ht="30">
      <c r="A20" s="366" t="s">
        <v>1171</v>
      </c>
      <c r="B20" s="366" t="s">
        <v>1134</v>
      </c>
      <c r="C20" s="539"/>
      <c r="D20" s="540" t="s">
        <v>1136</v>
      </c>
      <c r="E20" s="471"/>
      <c r="F20" s="471"/>
    </row>
    <row r="21" spans="1:6" ht="45">
      <c r="A21" s="366"/>
      <c r="B21" s="366" t="s">
        <v>1165</v>
      </c>
      <c r="C21" s="539"/>
      <c r="D21" s="540" t="s">
        <v>1136</v>
      </c>
      <c r="E21" s="471"/>
      <c r="F21" s="471"/>
    </row>
    <row r="22" spans="1:6" ht="45">
      <c r="A22" s="366"/>
      <c r="B22" s="366" t="s">
        <v>1166</v>
      </c>
      <c r="C22" s="539"/>
      <c r="D22" s="540" t="s">
        <v>1136</v>
      </c>
      <c r="E22" s="471"/>
      <c r="F22" s="471"/>
    </row>
    <row r="23" spans="1:6">
      <c r="C23" s="471"/>
      <c r="D23" s="471"/>
      <c r="E23" s="471"/>
      <c r="F23" s="471"/>
    </row>
  </sheetData>
  <sheetProtection formatCells="0" formatColumns="0" formatRows="0"/>
  <hyperlinks>
    <hyperlink ref="C2" r:id="rId1" display="Suggested Source: Haacker, Hallett, and Atun (2020)" xr:uid="{060261A0-914C-4442-B103-5253EA490361}"/>
    <hyperlink ref="C3" r:id="rId2" xr:uid="{5324AF78-8A09-4317-A9A2-918F5AEC554F}"/>
    <hyperlink ref="D4" r:id="rId3" xr:uid="{9A1B1CFD-A012-4398-BF27-2624D72867CB}"/>
    <hyperlink ref="D5" r:id="rId4" xr:uid="{5BB960EF-9671-4C3A-A3F8-2CB1533E62C3}"/>
    <hyperlink ref="D6" r:id="rId5" xr:uid="{263EEA94-4790-489B-9EBC-23B8C90FE10D}"/>
    <hyperlink ref="D8" r:id="rId6" xr:uid="{BE0500D5-29A4-4BE9-B225-903B3AE67B04}"/>
    <hyperlink ref="C7" r:id="rId7" xr:uid="{D66F7ABA-711D-481B-B29C-4B730A1E162C}"/>
    <hyperlink ref="D9" r:id="rId8" xr:uid="{9DF4873D-3C23-4A08-9EDE-B689693CDDF8}"/>
    <hyperlink ref="D10" r:id="rId9" xr:uid="{5FA97D91-15B4-44A6-8362-9F48B524045B}"/>
    <hyperlink ref="C11" r:id="rId10" xr:uid="{B0EE135C-9F8B-488E-B13E-97BD8E5D42A2}"/>
    <hyperlink ref="D12" r:id="rId11" xr:uid="{B94A99BB-A5E4-4159-9D15-043E11D7AED7}"/>
    <hyperlink ref="C13" r:id="rId12" xr:uid="{BF4E84F0-8E19-47E0-953D-76F9A986519F}"/>
    <hyperlink ref="C14" r:id="rId13" xr:uid="{F975664A-D943-4816-A1D4-F0926A559568}"/>
    <hyperlink ref="D15" r:id="rId14" xr:uid="{83F8DAB4-5883-4A70-B322-DF505413D82F}"/>
    <hyperlink ref="D18" r:id="rId15" xr:uid="{0934D560-4D55-400F-AA40-59C6F0F54657}"/>
    <hyperlink ref="D19" r:id="rId16" xr:uid="{445BF6F3-1FEB-4C8C-A47C-1BBB8767F145}"/>
    <hyperlink ref="D20" r:id="rId17" xr:uid="{EAB6095A-FC73-4956-BA4A-2D18A6961513}"/>
    <hyperlink ref="D21" r:id="rId18" xr:uid="{49DE0020-0A1B-4BE6-A2A0-D11BC4B1C32E}"/>
    <hyperlink ref="D22" r:id="rId19" xr:uid="{DFF49073-6E92-44AD-898F-2753F9883360}"/>
    <hyperlink ref="C16" r:id="rId20" xr:uid="{21031140-6796-4BB7-B8D1-51D0F97B7D72}"/>
    <hyperlink ref="D17" r:id="rId21" xr:uid="{3C37BA34-773B-4BB3-83F3-2BB1402B71D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B6595-E48A-4843-8483-4EDD861D99A7}">
  <sheetPr codeName="Sheet27">
    <tabColor rgb="FFFFC000"/>
  </sheetPr>
  <dimension ref="A1:O77"/>
  <sheetViews>
    <sheetView topLeftCell="F17" workbookViewId="0">
      <selection activeCell="K6" sqref="K6:K7"/>
    </sheetView>
  </sheetViews>
  <sheetFormatPr defaultColWidth="8.5703125" defaultRowHeight="15"/>
  <cols>
    <col min="1" max="1" width="2" style="315" customWidth="1"/>
    <col min="2" max="2" width="18.42578125" style="315" bestFit="1" customWidth="1"/>
    <col min="3" max="3" width="19.5703125" style="315" customWidth="1"/>
    <col min="4" max="4" width="13.42578125" style="315" customWidth="1"/>
    <col min="5" max="5" width="10.85546875" style="315" customWidth="1"/>
    <col min="6" max="6" width="24.42578125" style="315" customWidth="1"/>
    <col min="7" max="7" width="21.140625" style="315" customWidth="1"/>
    <col min="8" max="8" width="17.85546875" style="315" customWidth="1"/>
    <col min="9" max="9" width="19.42578125" style="315" customWidth="1"/>
    <col min="10" max="10" width="43.42578125" style="315" customWidth="1"/>
    <col min="11" max="11" width="8.5703125" style="315"/>
    <col min="12" max="12" width="25.85546875" style="315" customWidth="1"/>
    <col min="13" max="13" width="20.5703125" style="315" bestFit="1" customWidth="1"/>
    <col min="14" max="14" width="16.140625" style="315" bestFit="1" customWidth="1"/>
    <col min="15" max="15" width="17.42578125" style="315" bestFit="1" customWidth="1"/>
    <col min="16" max="16384" width="8.5703125" style="315"/>
  </cols>
  <sheetData>
    <row r="1" spans="1:15" ht="23.25">
      <c r="B1" s="481" t="s">
        <v>658</v>
      </c>
      <c r="C1" s="499"/>
    </row>
    <row r="2" spans="1:15" ht="15.75" thickBot="1">
      <c r="C2" s="499"/>
    </row>
    <row r="3" spans="1:15" ht="15.75" thickBot="1">
      <c r="B3" s="520" t="s">
        <v>1177</v>
      </c>
      <c r="C3" s="521">
        <f>'Scope of implementation'!C7</f>
        <v>0</v>
      </c>
    </row>
    <row r="4" spans="1:15">
      <c r="B4" s="557" t="s">
        <v>1176</v>
      </c>
    </row>
    <row r="5" spans="1:15" ht="30.95" customHeight="1">
      <c r="B5" s="1039" t="s">
        <v>1337</v>
      </c>
      <c r="C5" s="1039"/>
      <c r="D5" s="1039"/>
      <c r="E5" s="1039"/>
      <c r="F5" s="1039"/>
      <c r="G5" s="1039"/>
      <c r="H5" s="1039"/>
      <c r="I5" s="1039"/>
      <c r="J5" s="1039"/>
    </row>
    <row r="6" spans="1:15" ht="42.95" customHeight="1">
      <c r="B6" s="1039" t="s">
        <v>1375</v>
      </c>
      <c r="C6" s="1039"/>
      <c r="D6" s="1039"/>
      <c r="E6" s="1039"/>
      <c r="F6" s="1039"/>
      <c r="G6" s="1039"/>
      <c r="H6" s="1039"/>
      <c r="I6" s="1039"/>
      <c r="J6" s="1039"/>
    </row>
    <row r="7" spans="1:15" ht="15.75" thickBot="1"/>
    <row r="8" spans="1:15" ht="51.75">
      <c r="B8" s="575" t="s">
        <v>1336</v>
      </c>
      <c r="C8" s="575" t="s">
        <v>1332</v>
      </c>
      <c r="D8" s="575" t="s">
        <v>1333</v>
      </c>
      <c r="E8" s="576" t="s">
        <v>1334</v>
      </c>
      <c r="F8" s="1053" t="s">
        <v>995</v>
      </c>
      <c r="G8" s="1053"/>
      <c r="H8" s="1053"/>
      <c r="I8" s="1053"/>
      <c r="J8" s="575" t="s">
        <v>958</v>
      </c>
      <c r="L8" s="1041" t="s">
        <v>1203</v>
      </c>
      <c r="M8" s="1042"/>
      <c r="N8" s="1042"/>
      <c r="O8" s="1043"/>
    </row>
    <row r="9" spans="1:15" ht="83.1" customHeight="1">
      <c r="A9" s="498"/>
      <c r="B9" s="490" t="s">
        <v>1335</v>
      </c>
      <c r="C9" s="490"/>
      <c r="D9" s="490"/>
      <c r="E9" s="490"/>
      <c r="F9" s="1052" t="s">
        <v>1224</v>
      </c>
      <c r="G9" s="1052"/>
      <c r="H9" s="1052"/>
      <c r="I9" s="1052"/>
      <c r="J9" s="577" t="s">
        <v>1310</v>
      </c>
      <c r="L9" s="579" t="s">
        <v>1199</v>
      </c>
      <c r="M9" s="518" t="s">
        <v>1200</v>
      </c>
      <c r="N9" s="518" t="s">
        <v>1201</v>
      </c>
      <c r="O9" s="546" t="s">
        <v>1202</v>
      </c>
    </row>
    <row r="10" spans="1:15" ht="60">
      <c r="B10" s="526"/>
      <c r="C10" s="526">
        <v>0</v>
      </c>
      <c r="D10" s="526">
        <v>0</v>
      </c>
      <c r="E10" s="530" t="s">
        <v>1234</v>
      </c>
      <c r="F10" s="1054" t="s">
        <v>1338</v>
      </c>
      <c r="G10" s="1054"/>
      <c r="H10" s="1054"/>
      <c r="I10" s="1054"/>
      <c r="J10" s="558" t="s">
        <v>1311</v>
      </c>
      <c r="L10" s="547" t="s">
        <v>1192</v>
      </c>
      <c r="M10" s="519" t="s">
        <v>1175</v>
      </c>
      <c r="N10" s="538" t="e">
        <f>((INDEX(Table1[Multiplier],MATCH($C$3,Table1[Country],0))*N25)/100)+N25</f>
        <v>#N/A</v>
      </c>
      <c r="O10" s="548" t="e">
        <f>((INDEX(Table1[Multiplier],MATCH($C$3,Table1[Country],0))*N26)/100)+N26</f>
        <v>#N/A</v>
      </c>
    </row>
    <row r="11" spans="1:15" ht="60">
      <c r="B11" s="526"/>
      <c r="C11" s="526">
        <v>0</v>
      </c>
      <c r="D11" s="526">
        <v>0</v>
      </c>
      <c r="E11" s="530" t="s">
        <v>1234</v>
      </c>
      <c r="F11" s="1051" t="s">
        <v>1338</v>
      </c>
      <c r="G11" s="1051"/>
      <c r="H11" s="1051"/>
      <c r="I11" s="1051"/>
      <c r="J11" s="558" t="s">
        <v>1311</v>
      </c>
      <c r="L11" s="547" t="s">
        <v>1194</v>
      </c>
      <c r="M11" s="519" t="s">
        <v>1174</v>
      </c>
      <c r="N11" s="538" t="e">
        <f>((INDEX(Table1[Multiplier],MATCH($C$3,Table1[Country],0))*N26)/100)+N26</f>
        <v>#N/A</v>
      </c>
      <c r="O11" s="548" t="e">
        <f>((INDEX(Table1[Multiplier],MATCH($C$3,Table1[Country],0))*N27)/100)+N27</f>
        <v>#N/A</v>
      </c>
    </row>
    <row r="12" spans="1:15" ht="60">
      <c r="B12" s="526"/>
      <c r="C12" s="526">
        <v>0</v>
      </c>
      <c r="D12" s="526">
        <v>0</v>
      </c>
      <c r="E12" s="530" t="s">
        <v>1234</v>
      </c>
      <c r="F12" s="1051" t="s">
        <v>1338</v>
      </c>
      <c r="G12" s="1051"/>
      <c r="H12" s="1051"/>
      <c r="I12" s="1051"/>
      <c r="J12" s="558" t="s">
        <v>1311</v>
      </c>
      <c r="L12" s="547" t="s">
        <v>1197</v>
      </c>
      <c r="M12" s="519" t="s">
        <v>1173</v>
      </c>
      <c r="N12" s="538" t="e">
        <f>((INDEX(Table1[Multiplier],MATCH($C$3,Table1[Country],0))*N29)/100)+N29</f>
        <v>#N/A</v>
      </c>
      <c r="O12" s="548" t="e">
        <f>((INDEX(Table1[Multiplier],MATCH($C$3,Table1[Country],0))*N30)/100)+N30</f>
        <v>#N/A</v>
      </c>
    </row>
    <row r="13" spans="1:15" ht="60">
      <c r="B13" s="526"/>
      <c r="C13" s="526">
        <v>0</v>
      </c>
      <c r="D13" s="526">
        <v>0</v>
      </c>
      <c r="E13" s="530" t="s">
        <v>1234</v>
      </c>
      <c r="F13" s="1051" t="s">
        <v>1338</v>
      </c>
      <c r="G13" s="1051"/>
      <c r="H13" s="1051"/>
      <c r="I13" s="1051"/>
      <c r="J13" s="558" t="s">
        <v>1311</v>
      </c>
      <c r="L13" s="547" t="s">
        <v>1305</v>
      </c>
      <c r="M13" s="519" t="s">
        <v>1173</v>
      </c>
      <c r="N13" s="538" t="e">
        <f>((INDEX(Table1[Multiplier],MATCH($C$3,Table1[Country],0))*N29)/100)+N29</f>
        <v>#N/A</v>
      </c>
      <c r="O13" s="548" t="e">
        <f>((INDEX(Table1[Multiplier],MATCH($C$3,Table1[Country],0))*N30)/100)+N30</f>
        <v>#N/A</v>
      </c>
    </row>
    <row r="14" spans="1:15" ht="57.95" customHeight="1">
      <c r="B14" s="490" t="s">
        <v>1339</v>
      </c>
      <c r="C14" s="490"/>
      <c r="D14" s="490"/>
      <c r="E14" s="490"/>
      <c r="F14" s="1052" t="s">
        <v>1227</v>
      </c>
      <c r="G14" s="1052"/>
      <c r="H14" s="1052"/>
      <c r="I14" s="1052"/>
      <c r="J14" s="577" t="s">
        <v>1310</v>
      </c>
      <c r="L14" s="547" t="s">
        <v>1198</v>
      </c>
      <c r="M14" s="519" t="s">
        <v>1173</v>
      </c>
      <c r="N14" s="538" t="e">
        <f>((INDEX(Table1[Multiplier],MATCH($C$3,Table1[Country],0))*N29)/100)+N29</f>
        <v>#N/A</v>
      </c>
      <c r="O14" s="548" t="e">
        <f>((INDEX(Table1[Multiplier],MATCH($C$3,Table1[Country],0))*N30)/100)+N30</f>
        <v>#N/A</v>
      </c>
    </row>
    <row r="15" spans="1:15" ht="60">
      <c r="B15" s="526"/>
      <c r="C15" s="526">
        <v>0</v>
      </c>
      <c r="D15" s="526">
        <v>0</v>
      </c>
      <c r="E15" s="531" t="s">
        <v>1235</v>
      </c>
      <c r="F15" s="1051" t="s">
        <v>1340</v>
      </c>
      <c r="G15" s="1051"/>
      <c r="H15" s="1051"/>
      <c r="I15" s="1051"/>
      <c r="J15" s="558" t="s">
        <v>1311</v>
      </c>
      <c r="L15" s="547" t="s">
        <v>1193</v>
      </c>
      <c r="M15" s="519" t="s">
        <v>1173</v>
      </c>
      <c r="N15" s="538" t="e">
        <f>((INDEX(Table1[Multiplier],MATCH($C$3,Table1[Country],0))*N29)/100)+N29</f>
        <v>#N/A</v>
      </c>
      <c r="O15" s="548" t="e">
        <f>((INDEX(Table1[Multiplier],MATCH($C$3,Table1[Country],0))*N30)/100)+N30</f>
        <v>#N/A</v>
      </c>
    </row>
    <row r="16" spans="1:15" ht="60">
      <c r="B16" s="526"/>
      <c r="C16" s="526">
        <v>0</v>
      </c>
      <c r="D16" s="526">
        <v>0</v>
      </c>
      <c r="E16" s="531" t="s">
        <v>1235</v>
      </c>
      <c r="F16" s="1051" t="s">
        <v>1340</v>
      </c>
      <c r="G16" s="1051"/>
      <c r="H16" s="1051"/>
      <c r="I16" s="1051"/>
      <c r="J16" s="558" t="s">
        <v>1311</v>
      </c>
      <c r="L16" s="547" t="s">
        <v>1191</v>
      </c>
      <c r="M16" s="519" t="s">
        <v>1172</v>
      </c>
      <c r="N16" s="538" t="e">
        <f>((INDEX(Table1[Multiplier],MATCH($C$3,Table1[Country],0))*N31)/100)+N31</f>
        <v>#N/A</v>
      </c>
      <c r="O16" s="548" t="e">
        <f>((INDEX(Table1[Multiplier],MATCH($C$3,Table1[Country],0))*N32)/100)+N32</f>
        <v>#N/A</v>
      </c>
    </row>
    <row r="17" spans="2:15" ht="60">
      <c r="B17" s="526"/>
      <c r="C17" s="526">
        <v>0</v>
      </c>
      <c r="D17" s="526">
        <v>0</v>
      </c>
      <c r="E17" s="531" t="s">
        <v>1235</v>
      </c>
      <c r="F17" s="1051" t="s">
        <v>1340</v>
      </c>
      <c r="G17" s="1051"/>
      <c r="H17" s="1051"/>
      <c r="I17" s="1051"/>
      <c r="J17" s="558" t="s">
        <v>1311</v>
      </c>
      <c r="L17" s="547" t="s">
        <v>1196</v>
      </c>
      <c r="M17" s="519" t="s">
        <v>1172</v>
      </c>
      <c r="N17" s="538" t="e">
        <f>((INDEX(Table1[Multiplier],MATCH($C$3,Table1[Country],0))*N31)/100)+N31</f>
        <v>#N/A</v>
      </c>
      <c r="O17" s="548" t="e">
        <f>((INDEX(Table1[Multiplier],MATCH($C$3,Table1[Country],0))*N32)/100)+N32</f>
        <v>#N/A</v>
      </c>
    </row>
    <row r="18" spans="2:15" ht="55.5" customHeight="1">
      <c r="B18" s="490" t="s">
        <v>1341</v>
      </c>
      <c r="C18" s="490"/>
      <c r="D18" s="490"/>
      <c r="E18" s="490"/>
      <c r="F18" s="1052" t="s">
        <v>947</v>
      </c>
      <c r="G18" s="1052"/>
      <c r="H18" s="1052"/>
      <c r="I18" s="1052"/>
      <c r="J18" s="577" t="s">
        <v>1310</v>
      </c>
      <c r="L18" s="547" t="s">
        <v>1306</v>
      </c>
      <c r="M18" s="519" t="s">
        <v>1172</v>
      </c>
      <c r="N18" s="538" t="e">
        <f>((INDEX(Table1[Multiplier],MATCH($C$3,Table1[Country],0))*N31)/100)+N31</f>
        <v>#N/A</v>
      </c>
      <c r="O18" s="548" t="e">
        <f>((INDEX(Table1[Multiplier],MATCH($C$3,Table1[Country],0))*N32)/100)+N32</f>
        <v>#N/A</v>
      </c>
    </row>
    <row r="19" spans="2:15" ht="56.1" customHeight="1">
      <c r="B19" s="526"/>
      <c r="C19" s="526">
        <v>0</v>
      </c>
      <c r="D19" s="526">
        <v>0</v>
      </c>
      <c r="E19" s="531" t="s">
        <v>1236</v>
      </c>
      <c r="F19" s="1051" t="s">
        <v>1342</v>
      </c>
      <c r="G19" s="1051"/>
      <c r="H19" s="1051"/>
      <c r="I19" s="1051"/>
      <c r="J19" s="558" t="s">
        <v>1311</v>
      </c>
      <c r="L19" s="547" t="s">
        <v>1190</v>
      </c>
      <c r="M19" s="519" t="s">
        <v>1172</v>
      </c>
      <c r="N19" s="538" t="e">
        <f>((INDEX(Table1[Multiplier],MATCH($C$3,Table1[Country],0))*N31)/100)+N31</f>
        <v>#N/A</v>
      </c>
      <c r="O19" s="548" t="e">
        <f>((INDEX(Table1[Multiplier],MATCH($C$3,Table1[Country],0))*N32)/100)+N32</f>
        <v>#N/A</v>
      </c>
    </row>
    <row r="20" spans="2:15" ht="58.5" customHeight="1" thickBot="1">
      <c r="B20" s="526"/>
      <c r="C20" s="526">
        <v>0</v>
      </c>
      <c r="D20" s="526">
        <v>0</v>
      </c>
      <c r="E20" s="531" t="s">
        <v>1236</v>
      </c>
      <c r="F20" s="1051" t="s">
        <v>1342</v>
      </c>
      <c r="G20" s="1051"/>
      <c r="H20" s="1051"/>
      <c r="I20" s="1051"/>
      <c r="J20" s="558" t="s">
        <v>1311</v>
      </c>
      <c r="L20" s="549" t="s">
        <v>1195</v>
      </c>
      <c r="M20" s="550" t="s">
        <v>1172</v>
      </c>
      <c r="N20" s="551" t="e">
        <f>((INDEX(Table1[Multiplier],MATCH($C$3,Table1[Country],0))*N31)/100)+N31</f>
        <v>#N/A</v>
      </c>
      <c r="O20" s="552" t="e">
        <f>((INDEX(Table1[Multiplier],MATCH($C$3,Table1[Country],0))*N32)/100)+N32</f>
        <v>#N/A</v>
      </c>
    </row>
    <row r="21" spans="2:15" ht="56.45" customHeight="1">
      <c r="B21" s="490" t="s">
        <v>1343</v>
      </c>
      <c r="C21" s="490"/>
      <c r="D21" s="490"/>
      <c r="E21" s="490"/>
      <c r="F21" s="1052" t="s">
        <v>909</v>
      </c>
      <c r="G21" s="1052"/>
      <c r="H21" s="1052"/>
      <c r="I21" s="1052"/>
      <c r="J21" s="577" t="s">
        <v>1310</v>
      </c>
    </row>
    <row r="22" spans="2:15" ht="30">
      <c r="B22" s="526"/>
      <c r="C22" s="526">
        <v>0</v>
      </c>
      <c r="D22" s="526">
        <v>0</v>
      </c>
      <c r="E22" s="503">
        <v>0.5</v>
      </c>
      <c r="F22" s="1051" t="s">
        <v>1344</v>
      </c>
      <c r="G22" s="1051"/>
      <c r="H22" s="1051"/>
      <c r="I22" s="1051"/>
      <c r="J22" s="478" t="s">
        <v>959</v>
      </c>
      <c r="L22" s="570" t="s">
        <v>1303</v>
      </c>
      <c r="M22" s="571"/>
      <c r="N22" s="571"/>
    </row>
    <row r="23" spans="2:15" ht="45">
      <c r="B23" s="526"/>
      <c r="C23" s="526">
        <v>0</v>
      </c>
      <c r="D23" s="526">
        <v>0</v>
      </c>
      <c r="E23" s="503">
        <v>0.5</v>
      </c>
      <c r="F23" s="1051" t="s">
        <v>1344</v>
      </c>
      <c r="G23" s="1051"/>
      <c r="H23" s="1051"/>
      <c r="I23" s="1051"/>
      <c r="J23" s="478" t="s">
        <v>959</v>
      </c>
      <c r="L23" s="536"/>
      <c r="M23" s="519" t="s">
        <v>1298</v>
      </c>
      <c r="N23" s="519" t="s">
        <v>1299</v>
      </c>
    </row>
    <row r="24" spans="2:15" ht="30">
      <c r="B24" s="526"/>
      <c r="C24" s="526">
        <v>0</v>
      </c>
      <c r="D24" s="526">
        <v>0</v>
      </c>
      <c r="E24" s="503">
        <v>0.5</v>
      </c>
      <c r="F24" s="1051" t="s">
        <v>1344</v>
      </c>
      <c r="G24" s="1051"/>
      <c r="H24" s="1051"/>
      <c r="I24" s="1051"/>
      <c r="J24" s="478" t="s">
        <v>959</v>
      </c>
      <c r="L24" s="542" t="s">
        <v>1304</v>
      </c>
      <c r="M24" s="543"/>
      <c r="N24" s="544"/>
      <c r="O24" s="479"/>
    </row>
    <row r="25" spans="2:15" ht="72.95" customHeight="1">
      <c r="B25" s="490" t="s">
        <v>1345</v>
      </c>
      <c r="C25" s="490"/>
      <c r="D25" s="490"/>
      <c r="E25" s="490"/>
      <c r="F25" s="1052" t="s">
        <v>665</v>
      </c>
      <c r="G25" s="1052"/>
      <c r="H25" s="1052"/>
      <c r="I25" s="1052"/>
      <c r="J25" s="578" t="s">
        <v>957</v>
      </c>
      <c r="L25" s="519" t="s">
        <v>1307</v>
      </c>
      <c r="M25" s="553" t="s">
        <v>70</v>
      </c>
      <c r="N25" s="556">
        <v>31255.020993999999</v>
      </c>
      <c r="O25" s="479"/>
    </row>
    <row r="26" spans="2:15" ht="30">
      <c r="B26" s="526"/>
      <c r="C26" s="526">
        <v>0</v>
      </c>
      <c r="D26" s="526">
        <v>0</v>
      </c>
      <c r="E26" s="503"/>
      <c r="F26" s="1051"/>
      <c r="G26" s="1051"/>
      <c r="H26" s="1051"/>
      <c r="I26" s="1051"/>
      <c r="J26" s="478"/>
      <c r="L26" s="519" t="s">
        <v>1308</v>
      </c>
      <c r="M26" s="553" t="s">
        <v>70</v>
      </c>
      <c r="N26" s="556">
        <v>37656.6518</v>
      </c>
      <c r="O26" s="479"/>
    </row>
    <row r="27" spans="2:15" ht="30">
      <c r="B27" s="526"/>
      <c r="C27" s="526">
        <v>0</v>
      </c>
      <c r="D27" s="526">
        <v>0</v>
      </c>
      <c r="E27" s="503"/>
      <c r="F27" s="1051"/>
      <c r="G27" s="1051"/>
      <c r="H27" s="1051"/>
      <c r="I27" s="1051"/>
      <c r="J27" s="478"/>
      <c r="L27" s="519" t="s">
        <v>1309</v>
      </c>
      <c r="M27" s="553" t="s">
        <v>70</v>
      </c>
      <c r="N27" s="556">
        <v>45369.46</v>
      </c>
      <c r="O27" s="479"/>
    </row>
    <row r="28" spans="2:15">
      <c r="B28" s="526"/>
      <c r="C28" s="526">
        <v>0</v>
      </c>
      <c r="D28" s="526">
        <v>0</v>
      </c>
      <c r="E28" s="503"/>
      <c r="F28" s="1051"/>
      <c r="G28" s="1051"/>
      <c r="H28" s="1051"/>
      <c r="I28" s="1051"/>
      <c r="J28" s="478"/>
      <c r="L28" s="572" t="s">
        <v>1297</v>
      </c>
      <c r="M28" s="573"/>
      <c r="N28" s="574"/>
      <c r="O28" s="479"/>
    </row>
    <row r="29" spans="2:15" ht="30">
      <c r="B29" s="490" t="s">
        <v>1346</v>
      </c>
      <c r="C29" s="490"/>
      <c r="D29" s="490"/>
      <c r="E29" s="490"/>
      <c r="F29" s="1052" t="s">
        <v>911</v>
      </c>
      <c r="G29" s="1052"/>
      <c r="H29" s="1052"/>
      <c r="I29" s="1052"/>
      <c r="J29" s="578" t="s">
        <v>957</v>
      </c>
      <c r="L29" s="1055" t="s">
        <v>1300</v>
      </c>
      <c r="M29" s="532" t="s">
        <v>1204</v>
      </c>
      <c r="N29" s="554">
        <v>54662</v>
      </c>
      <c r="O29" s="479"/>
    </row>
    <row r="30" spans="2:15">
      <c r="B30" s="526"/>
      <c r="C30" s="526">
        <v>0</v>
      </c>
      <c r="D30" s="526">
        <v>0</v>
      </c>
      <c r="E30" s="503"/>
      <c r="F30" s="1051"/>
      <c r="G30" s="1051"/>
      <c r="H30" s="1051"/>
      <c r="I30" s="1051"/>
      <c r="J30" s="478"/>
      <c r="L30" s="1056"/>
      <c r="M30" s="533" t="s">
        <v>1205</v>
      </c>
      <c r="N30" s="555">
        <v>70268</v>
      </c>
      <c r="O30" s="479"/>
    </row>
    <row r="31" spans="2:15">
      <c r="B31" s="526"/>
      <c r="C31" s="526">
        <v>0</v>
      </c>
      <c r="D31" s="526">
        <v>0</v>
      </c>
      <c r="E31" s="503"/>
      <c r="F31" s="1051"/>
      <c r="G31" s="1051"/>
      <c r="H31" s="1051"/>
      <c r="I31" s="1051"/>
      <c r="J31" s="478"/>
      <c r="L31" s="1056"/>
      <c r="M31" s="533" t="s">
        <v>1206</v>
      </c>
      <c r="N31" s="555">
        <v>89039</v>
      </c>
      <c r="O31" s="479"/>
    </row>
    <row r="32" spans="2:15">
      <c r="B32" s="526"/>
      <c r="C32" s="526">
        <v>0</v>
      </c>
      <c r="D32" s="526">
        <v>0</v>
      </c>
      <c r="E32" s="503"/>
      <c r="F32" s="1051"/>
      <c r="G32" s="1051"/>
      <c r="H32" s="1051"/>
      <c r="I32" s="1051"/>
      <c r="J32" s="478"/>
      <c r="L32" s="1057"/>
      <c r="M32" s="534" t="s">
        <v>1207</v>
      </c>
      <c r="N32" s="517">
        <v>107420</v>
      </c>
    </row>
    <row r="33" spans="2:14" ht="55.5" customHeight="1">
      <c r="B33" s="490" t="s">
        <v>1347</v>
      </c>
      <c r="C33" s="490"/>
      <c r="D33" s="490"/>
      <c r="E33" s="490"/>
      <c r="F33" s="1052" t="s">
        <v>1348</v>
      </c>
      <c r="G33" s="1052"/>
      <c r="H33" s="1052"/>
      <c r="I33" s="1052"/>
      <c r="J33" s="578" t="s">
        <v>959</v>
      </c>
      <c r="L33" s="535" t="s">
        <v>1301</v>
      </c>
      <c r="M33" s="536"/>
      <c r="N33" s="537" t="s">
        <v>1302</v>
      </c>
    </row>
    <row r="34" spans="2:14" ht="27.6" customHeight="1">
      <c r="B34" s="526"/>
      <c r="C34" s="526">
        <v>0</v>
      </c>
      <c r="D34" s="526">
        <v>0</v>
      </c>
      <c r="E34" s="503">
        <v>0.5</v>
      </c>
      <c r="F34" s="1051" t="s">
        <v>1344</v>
      </c>
      <c r="G34" s="1051"/>
      <c r="H34" s="1051"/>
      <c r="I34" s="1051"/>
      <c r="J34" s="473" t="s">
        <v>960</v>
      </c>
      <c r="L34" s="471"/>
    </row>
    <row r="35" spans="2:14" ht="45">
      <c r="B35" s="526"/>
      <c r="C35" s="526">
        <v>0</v>
      </c>
      <c r="D35" s="526">
        <v>0</v>
      </c>
      <c r="E35" s="503">
        <v>0.5</v>
      </c>
      <c r="F35" s="1051" t="s">
        <v>1344</v>
      </c>
      <c r="G35" s="1051"/>
      <c r="H35" s="1051"/>
      <c r="I35" s="1051"/>
      <c r="J35" s="473" t="s">
        <v>960</v>
      </c>
      <c r="L35" s="478" t="s">
        <v>1374</v>
      </c>
    </row>
    <row r="36" spans="2:14" ht="28.5" customHeight="1">
      <c r="B36" s="526"/>
      <c r="C36" s="526">
        <v>0</v>
      </c>
      <c r="D36" s="526">
        <v>0</v>
      </c>
      <c r="E36" s="503">
        <v>0.5</v>
      </c>
      <c r="F36" s="1051" t="s">
        <v>1344</v>
      </c>
      <c r="G36" s="1051"/>
      <c r="H36" s="1051"/>
      <c r="I36" s="1051"/>
      <c r="J36" s="473" t="s">
        <v>960</v>
      </c>
      <c r="L36" s="473"/>
    </row>
    <row r="37" spans="2:14" ht="29.1" customHeight="1">
      <c r="B37" s="490" t="s">
        <v>1349</v>
      </c>
      <c r="C37" s="490"/>
      <c r="D37" s="490"/>
      <c r="E37" s="490"/>
      <c r="F37" s="1052" t="s">
        <v>1351</v>
      </c>
      <c r="G37" s="1052"/>
      <c r="H37" s="1052"/>
      <c r="I37" s="1052"/>
      <c r="J37" s="578" t="s">
        <v>957</v>
      </c>
    </row>
    <row r="38" spans="2:14" ht="30">
      <c r="B38" s="526"/>
      <c r="C38" s="526">
        <v>0</v>
      </c>
      <c r="D38" s="526">
        <v>0</v>
      </c>
      <c r="E38" s="503" t="s">
        <v>1258</v>
      </c>
      <c r="F38" s="1051" t="s">
        <v>1352</v>
      </c>
      <c r="G38" s="1051"/>
      <c r="H38" s="1051"/>
      <c r="I38" s="1051"/>
      <c r="J38" s="478" t="s">
        <v>957</v>
      </c>
    </row>
    <row r="39" spans="2:14" ht="30">
      <c r="B39" s="526"/>
      <c r="C39" s="526">
        <v>0</v>
      </c>
      <c r="D39" s="526">
        <v>0</v>
      </c>
      <c r="E39" s="503" t="s">
        <v>1258</v>
      </c>
      <c r="F39" s="1051" t="s">
        <v>1352</v>
      </c>
      <c r="G39" s="1051"/>
      <c r="H39" s="1051"/>
      <c r="I39" s="1051"/>
      <c r="J39" s="478" t="s">
        <v>957</v>
      </c>
    </row>
    <row r="40" spans="2:14" ht="30">
      <c r="B40" s="526"/>
      <c r="C40" s="526">
        <v>0</v>
      </c>
      <c r="D40" s="526">
        <v>0</v>
      </c>
      <c r="E40" s="503" t="s">
        <v>1258</v>
      </c>
      <c r="F40" s="1051" t="s">
        <v>1352</v>
      </c>
      <c r="G40" s="1051"/>
      <c r="H40" s="1051"/>
      <c r="I40" s="1051"/>
      <c r="J40" s="478" t="s">
        <v>957</v>
      </c>
    </row>
    <row r="41" spans="2:14" ht="30">
      <c r="B41" s="526"/>
      <c r="C41" s="526">
        <v>0</v>
      </c>
      <c r="D41" s="526">
        <v>0</v>
      </c>
      <c r="E41" s="503" t="s">
        <v>1258</v>
      </c>
      <c r="F41" s="1051" t="s">
        <v>1352</v>
      </c>
      <c r="G41" s="1051"/>
      <c r="H41" s="1051"/>
      <c r="I41" s="1051"/>
      <c r="J41" s="478" t="s">
        <v>957</v>
      </c>
    </row>
    <row r="42" spans="2:14" ht="30">
      <c r="B42" s="490" t="s">
        <v>1354</v>
      </c>
      <c r="C42" s="490"/>
      <c r="D42" s="490"/>
      <c r="E42" s="490"/>
      <c r="F42" s="1052" t="s">
        <v>1355</v>
      </c>
      <c r="G42" s="1052"/>
      <c r="H42" s="1052"/>
      <c r="I42" s="1052"/>
      <c r="J42" s="578" t="s">
        <v>957</v>
      </c>
    </row>
    <row r="43" spans="2:14">
      <c r="B43" s="526"/>
      <c r="C43" s="526">
        <v>0</v>
      </c>
      <c r="D43" s="526">
        <v>0</v>
      </c>
      <c r="E43" s="503"/>
      <c r="F43" s="1051"/>
      <c r="G43" s="1051"/>
      <c r="H43" s="1051"/>
      <c r="I43" s="1051"/>
      <c r="J43" s="478"/>
    </row>
    <row r="44" spans="2:14">
      <c r="B44" s="526"/>
      <c r="C44" s="526">
        <v>0</v>
      </c>
      <c r="D44" s="526">
        <v>0</v>
      </c>
      <c r="E44" s="503"/>
      <c r="F44" s="1051"/>
      <c r="G44" s="1051"/>
      <c r="H44" s="1051"/>
      <c r="I44" s="1051"/>
      <c r="J44" s="478"/>
    </row>
    <row r="45" spans="2:14">
      <c r="B45" s="526"/>
      <c r="C45" s="526">
        <v>0</v>
      </c>
      <c r="D45" s="526">
        <v>0</v>
      </c>
      <c r="E45" s="503"/>
      <c r="F45" s="1051"/>
      <c r="G45" s="1051"/>
      <c r="H45" s="1051"/>
      <c r="I45" s="1051"/>
      <c r="J45" s="478"/>
    </row>
    <row r="46" spans="2:14">
      <c r="B46" s="526"/>
      <c r="C46" s="526">
        <v>0</v>
      </c>
      <c r="D46" s="526">
        <v>0</v>
      </c>
      <c r="E46" s="503"/>
      <c r="F46" s="1051"/>
      <c r="G46" s="1051"/>
      <c r="H46" s="1051"/>
      <c r="I46" s="1051"/>
      <c r="J46" s="478"/>
    </row>
    <row r="47" spans="2:14" ht="157.5" customHeight="1">
      <c r="B47" s="490" t="s">
        <v>1357</v>
      </c>
      <c r="C47" s="490"/>
      <c r="D47" s="490"/>
      <c r="E47" s="490"/>
      <c r="F47" s="1052" t="s">
        <v>1358</v>
      </c>
      <c r="G47" s="1052"/>
      <c r="H47" s="1052"/>
      <c r="I47" s="1052"/>
      <c r="J47" s="578" t="s">
        <v>957</v>
      </c>
    </row>
    <row r="48" spans="2:14">
      <c r="B48" s="526"/>
      <c r="C48" s="526">
        <v>0</v>
      </c>
      <c r="D48" s="526">
        <v>0</v>
      </c>
      <c r="E48" s="503"/>
      <c r="F48" s="1051"/>
      <c r="G48" s="1051"/>
      <c r="H48" s="1051"/>
      <c r="I48" s="1051"/>
      <c r="J48" s="478"/>
    </row>
    <row r="49" spans="2:10">
      <c r="B49" s="526"/>
      <c r="C49" s="526">
        <v>0</v>
      </c>
      <c r="D49" s="526">
        <v>0</v>
      </c>
      <c r="E49" s="503"/>
      <c r="F49" s="1051"/>
      <c r="G49" s="1051"/>
      <c r="H49" s="1051"/>
      <c r="I49" s="1051"/>
      <c r="J49" s="478"/>
    </row>
    <row r="50" spans="2:10">
      <c r="B50" s="526"/>
      <c r="C50" s="526">
        <v>0</v>
      </c>
      <c r="D50" s="526">
        <v>0</v>
      </c>
      <c r="E50" s="503"/>
      <c r="F50" s="1051"/>
      <c r="G50" s="1051"/>
      <c r="H50" s="1051"/>
      <c r="I50" s="1051"/>
      <c r="J50" s="478"/>
    </row>
    <row r="51" spans="2:10">
      <c r="B51" s="526"/>
      <c r="C51" s="526">
        <v>0</v>
      </c>
      <c r="D51" s="526">
        <v>0</v>
      </c>
      <c r="E51" s="503"/>
      <c r="F51" s="1051"/>
      <c r="G51" s="1051"/>
      <c r="H51" s="1051"/>
      <c r="I51" s="1051"/>
      <c r="J51" s="478"/>
    </row>
    <row r="52" spans="2:10">
      <c r="B52" s="526"/>
      <c r="C52" s="526">
        <v>0</v>
      </c>
      <c r="D52" s="526">
        <v>0</v>
      </c>
      <c r="E52" s="503"/>
    </row>
    <row r="53" spans="2:10">
      <c r="B53" s="526"/>
      <c r="C53" s="526">
        <v>0</v>
      </c>
      <c r="D53" s="526">
        <v>0</v>
      </c>
      <c r="E53" s="503"/>
    </row>
    <row r="54" spans="2:10" ht="86.1" customHeight="1">
      <c r="B54" s="490" t="s">
        <v>1359</v>
      </c>
      <c r="C54" s="490"/>
      <c r="D54" s="490"/>
      <c r="E54" s="490"/>
      <c r="F54" s="1052" t="s">
        <v>1360</v>
      </c>
      <c r="G54" s="1052"/>
      <c r="H54" s="1052"/>
      <c r="I54" s="1052"/>
      <c r="J54" s="578" t="s">
        <v>957</v>
      </c>
    </row>
    <row r="55" spans="2:10" ht="27.6" customHeight="1">
      <c r="B55" s="526"/>
      <c r="C55" s="526">
        <v>0</v>
      </c>
      <c r="D55" s="526">
        <v>0</v>
      </c>
      <c r="E55" s="504">
        <v>0.25</v>
      </c>
      <c r="F55" s="1051" t="s">
        <v>1361</v>
      </c>
      <c r="G55" s="1051"/>
      <c r="H55" s="1051"/>
      <c r="I55" s="1051"/>
      <c r="J55" s="478" t="s">
        <v>959</v>
      </c>
    </row>
    <row r="56" spans="2:10" ht="27.6" customHeight="1">
      <c r="B56" s="526"/>
      <c r="C56" s="526">
        <v>0</v>
      </c>
      <c r="D56" s="526">
        <v>0</v>
      </c>
      <c r="E56" s="504">
        <v>0.25</v>
      </c>
      <c r="F56" s="1051" t="s">
        <v>1361</v>
      </c>
      <c r="G56" s="1051"/>
      <c r="H56" s="1051"/>
      <c r="I56" s="1051"/>
      <c r="J56" s="478" t="s">
        <v>959</v>
      </c>
    </row>
    <row r="57" spans="2:10" ht="26.45" customHeight="1">
      <c r="B57" s="526"/>
      <c r="C57" s="526">
        <v>0</v>
      </c>
      <c r="D57" s="526">
        <v>0</v>
      </c>
      <c r="E57" s="504">
        <v>0.25</v>
      </c>
      <c r="F57" s="1051" t="s">
        <v>1361</v>
      </c>
      <c r="G57" s="1051"/>
      <c r="H57" s="1051"/>
      <c r="I57" s="1051"/>
      <c r="J57" s="478" t="s">
        <v>959</v>
      </c>
    </row>
    <row r="58" spans="2:10" ht="70.5" customHeight="1">
      <c r="B58" s="490" t="s">
        <v>1362</v>
      </c>
      <c r="C58" s="490"/>
      <c r="D58" s="490"/>
      <c r="E58" s="490"/>
      <c r="F58" s="1052" t="s">
        <v>1363</v>
      </c>
      <c r="G58" s="1052"/>
      <c r="H58" s="1052"/>
      <c r="I58" s="1052"/>
      <c r="J58" s="578" t="s">
        <v>957</v>
      </c>
    </row>
    <row r="59" spans="2:10">
      <c r="B59" s="526"/>
      <c r="C59" s="526">
        <v>0</v>
      </c>
      <c r="D59" s="526">
        <v>0</v>
      </c>
      <c r="E59" s="504"/>
      <c r="F59" s="1051"/>
      <c r="G59" s="1051"/>
      <c r="H59" s="1051"/>
      <c r="I59" s="1051"/>
      <c r="J59" s="478"/>
    </row>
    <row r="60" spans="2:10">
      <c r="B60" s="526"/>
      <c r="C60" s="526">
        <v>0</v>
      </c>
      <c r="D60" s="526">
        <v>0</v>
      </c>
      <c r="E60" s="504"/>
      <c r="F60" s="1051"/>
      <c r="G60" s="1051"/>
      <c r="H60" s="1051"/>
      <c r="I60" s="1051"/>
      <c r="J60" s="478"/>
    </row>
    <row r="61" spans="2:10">
      <c r="B61" s="526"/>
      <c r="C61" s="526">
        <v>0</v>
      </c>
      <c r="D61" s="526">
        <v>0</v>
      </c>
      <c r="E61" s="504"/>
      <c r="F61" s="1051"/>
      <c r="G61" s="1051"/>
      <c r="H61" s="1051"/>
      <c r="I61" s="1051"/>
      <c r="J61" s="478"/>
    </row>
    <row r="62" spans="2:10" ht="30">
      <c r="B62" s="490" t="s">
        <v>1364</v>
      </c>
      <c r="C62" s="490"/>
      <c r="D62" s="490"/>
      <c r="E62" s="490"/>
      <c r="F62" s="1052" t="s">
        <v>1369</v>
      </c>
      <c r="G62" s="1052"/>
      <c r="H62" s="1052"/>
      <c r="I62" s="1052"/>
      <c r="J62" s="578" t="s">
        <v>957</v>
      </c>
    </row>
    <row r="63" spans="2:10">
      <c r="B63" s="526"/>
      <c r="C63" s="526">
        <v>0</v>
      </c>
      <c r="D63" s="526">
        <v>0</v>
      </c>
      <c r="E63" s="504"/>
      <c r="F63" s="1051"/>
      <c r="G63" s="1051"/>
      <c r="H63" s="1051"/>
      <c r="I63" s="1051"/>
      <c r="J63" s="478"/>
    </row>
    <row r="64" spans="2:10">
      <c r="B64" s="526"/>
      <c r="C64" s="526">
        <v>0</v>
      </c>
      <c r="D64" s="526">
        <v>0</v>
      </c>
      <c r="E64" s="504"/>
      <c r="F64" s="1051"/>
      <c r="G64" s="1051"/>
      <c r="H64" s="1051"/>
      <c r="I64" s="1051"/>
      <c r="J64" s="478"/>
    </row>
    <row r="65" spans="2:10">
      <c r="B65" s="526"/>
      <c r="C65" s="526">
        <v>0</v>
      </c>
      <c r="D65" s="526">
        <v>0</v>
      </c>
      <c r="E65" s="504"/>
      <c r="F65" s="1051"/>
      <c r="G65" s="1051"/>
      <c r="H65" s="1051"/>
      <c r="I65" s="1051"/>
      <c r="J65" s="478"/>
    </row>
    <row r="66" spans="2:10" ht="55.5" customHeight="1">
      <c r="B66" s="490" t="s">
        <v>1365</v>
      </c>
      <c r="C66" s="490"/>
      <c r="D66" s="490"/>
      <c r="E66" s="490"/>
      <c r="F66" s="1052" t="s">
        <v>1366</v>
      </c>
      <c r="G66" s="1052"/>
      <c r="H66" s="1052"/>
      <c r="I66" s="1052"/>
      <c r="J66" s="578" t="s">
        <v>957</v>
      </c>
    </row>
    <row r="67" spans="2:10" ht="27.95" customHeight="1">
      <c r="B67" s="526"/>
      <c r="C67" s="526">
        <v>0</v>
      </c>
      <c r="D67" s="526">
        <v>0</v>
      </c>
      <c r="E67" s="504">
        <v>0.5</v>
      </c>
      <c r="F67" s="1051" t="s">
        <v>1367</v>
      </c>
      <c r="G67" s="1051"/>
      <c r="H67" s="1051"/>
      <c r="I67" s="1051"/>
      <c r="J67" s="478" t="s">
        <v>959</v>
      </c>
    </row>
    <row r="68" spans="2:10" ht="26.45" customHeight="1">
      <c r="B68" s="526"/>
      <c r="C68" s="526">
        <v>0</v>
      </c>
      <c r="D68" s="526">
        <v>0</v>
      </c>
      <c r="E68" s="504">
        <v>0.5</v>
      </c>
      <c r="F68" s="1051" t="s">
        <v>1367</v>
      </c>
      <c r="G68" s="1051"/>
      <c r="H68" s="1051"/>
      <c r="I68" s="1051"/>
      <c r="J68" s="478" t="s">
        <v>959</v>
      </c>
    </row>
    <row r="69" spans="2:10" ht="29.45" customHeight="1">
      <c r="B69" s="526"/>
      <c r="C69" s="526">
        <v>0</v>
      </c>
      <c r="D69" s="526">
        <v>0</v>
      </c>
      <c r="E69" s="504">
        <v>0.5</v>
      </c>
      <c r="F69" s="1051" t="s">
        <v>1367</v>
      </c>
      <c r="G69" s="1051"/>
      <c r="H69" s="1051"/>
      <c r="I69" s="1051"/>
      <c r="J69" s="478" t="s">
        <v>959</v>
      </c>
    </row>
    <row r="70" spans="2:10" ht="56.45" customHeight="1">
      <c r="B70" s="490" t="s">
        <v>1368</v>
      </c>
      <c r="C70" s="490"/>
      <c r="D70" s="490"/>
      <c r="E70" s="490"/>
      <c r="F70" s="1052" t="s">
        <v>1370</v>
      </c>
      <c r="G70" s="1052"/>
      <c r="H70" s="1052"/>
      <c r="I70" s="1052"/>
      <c r="J70" s="578" t="s">
        <v>957</v>
      </c>
    </row>
    <row r="71" spans="2:10">
      <c r="B71" s="526"/>
      <c r="C71" s="526">
        <v>0</v>
      </c>
      <c r="D71" s="526">
        <v>0</v>
      </c>
      <c r="E71" s="504"/>
      <c r="F71" s="1051"/>
      <c r="G71" s="1051"/>
      <c r="H71" s="1051"/>
      <c r="I71" s="1051"/>
      <c r="J71" s="478"/>
    </row>
    <row r="72" spans="2:10">
      <c r="B72" s="526"/>
      <c r="C72" s="526">
        <v>0</v>
      </c>
      <c r="D72" s="526">
        <v>0</v>
      </c>
      <c r="E72" s="504"/>
      <c r="F72" s="1051"/>
      <c r="G72" s="1051"/>
      <c r="H72" s="1051"/>
      <c r="I72" s="1051"/>
      <c r="J72" s="478"/>
    </row>
    <row r="73" spans="2:10">
      <c r="B73" s="526"/>
      <c r="C73" s="526">
        <v>0</v>
      </c>
      <c r="D73" s="526">
        <v>0</v>
      </c>
      <c r="E73" s="504"/>
      <c r="F73" s="1051"/>
      <c r="G73" s="1051"/>
      <c r="H73" s="1051"/>
      <c r="I73" s="1051"/>
      <c r="J73" s="478"/>
    </row>
    <row r="74" spans="2:10" ht="41.45" customHeight="1">
      <c r="B74" s="490" t="s">
        <v>1371</v>
      </c>
      <c r="C74" s="490"/>
      <c r="D74" s="490"/>
      <c r="E74" s="490"/>
      <c r="F74" s="1052" t="s">
        <v>1372</v>
      </c>
      <c r="G74" s="1052"/>
      <c r="H74" s="1052"/>
      <c r="I74" s="1052"/>
      <c r="J74" s="578" t="s">
        <v>957</v>
      </c>
    </row>
    <row r="75" spans="2:10" ht="27.6" customHeight="1">
      <c r="B75" s="526"/>
      <c r="C75" s="526">
        <v>0</v>
      </c>
      <c r="D75" s="526">
        <v>0</v>
      </c>
      <c r="E75" s="504">
        <v>0.25</v>
      </c>
      <c r="F75" s="1051" t="s">
        <v>1373</v>
      </c>
      <c r="G75" s="1051"/>
      <c r="H75" s="1051"/>
      <c r="I75" s="1051"/>
      <c r="J75" s="478" t="s">
        <v>959</v>
      </c>
    </row>
    <row r="76" spans="2:10" ht="27.6" customHeight="1">
      <c r="B76" s="526"/>
      <c r="C76" s="526">
        <v>0</v>
      </c>
      <c r="D76" s="526">
        <v>0</v>
      </c>
      <c r="E76" s="504">
        <v>0.25</v>
      </c>
      <c r="F76" s="1051" t="s">
        <v>1373</v>
      </c>
      <c r="G76" s="1051"/>
      <c r="H76" s="1051"/>
      <c r="I76" s="1051"/>
      <c r="J76" s="478" t="s">
        <v>959</v>
      </c>
    </row>
    <row r="77" spans="2:10" ht="26.1" customHeight="1">
      <c r="B77" s="526"/>
      <c r="C77" s="526">
        <v>0</v>
      </c>
      <c r="D77" s="526">
        <v>0</v>
      </c>
      <c r="E77" s="504">
        <v>0.25</v>
      </c>
      <c r="F77" s="1051" t="s">
        <v>1373</v>
      </c>
      <c r="G77" s="1051"/>
      <c r="H77" s="1051"/>
      <c r="I77" s="1051"/>
      <c r="J77" s="478" t="s">
        <v>959</v>
      </c>
    </row>
  </sheetData>
  <mergeCells count="72">
    <mergeCell ref="F73:I73"/>
    <mergeCell ref="F74:I74"/>
    <mergeCell ref="F75:I75"/>
    <mergeCell ref="F76:I76"/>
    <mergeCell ref="F77:I77"/>
    <mergeCell ref="F69:I69"/>
    <mergeCell ref="F65:I65"/>
    <mergeCell ref="F70:I70"/>
    <mergeCell ref="F71:I71"/>
    <mergeCell ref="F72:I72"/>
    <mergeCell ref="F63:I63"/>
    <mergeCell ref="F64:I64"/>
    <mergeCell ref="F66:I66"/>
    <mergeCell ref="F67:I67"/>
    <mergeCell ref="F68:I68"/>
    <mergeCell ref="F58:I58"/>
    <mergeCell ref="F59:I59"/>
    <mergeCell ref="F60:I60"/>
    <mergeCell ref="F61:I61"/>
    <mergeCell ref="F62:I62"/>
    <mergeCell ref="F54:I54"/>
    <mergeCell ref="F55:I55"/>
    <mergeCell ref="F56:I56"/>
    <mergeCell ref="F57:I57"/>
    <mergeCell ref="F47:I47"/>
    <mergeCell ref="F48:I48"/>
    <mergeCell ref="F49:I49"/>
    <mergeCell ref="F50:I50"/>
    <mergeCell ref="F51:I51"/>
    <mergeCell ref="F42:I42"/>
    <mergeCell ref="F43:I43"/>
    <mergeCell ref="F44:I44"/>
    <mergeCell ref="F45:I45"/>
    <mergeCell ref="F46:I46"/>
    <mergeCell ref="L29:L32"/>
    <mergeCell ref="F16:I16"/>
    <mergeCell ref="F9:I9"/>
    <mergeCell ref="F14:I14"/>
    <mergeCell ref="F15:I15"/>
    <mergeCell ref="F17:I17"/>
    <mergeCell ref="F18:I18"/>
    <mergeCell ref="F19:I19"/>
    <mergeCell ref="F20:I20"/>
    <mergeCell ref="F21:I21"/>
    <mergeCell ref="F32:I32"/>
    <mergeCell ref="F22:I22"/>
    <mergeCell ref="F23:I23"/>
    <mergeCell ref="F24:I24"/>
    <mergeCell ref="F25:I25"/>
    <mergeCell ref="F26:I26"/>
    <mergeCell ref="B5:J5"/>
    <mergeCell ref="L8:O8"/>
    <mergeCell ref="B6:J6"/>
    <mergeCell ref="F12:I12"/>
    <mergeCell ref="F13:I13"/>
    <mergeCell ref="F8:I8"/>
    <mergeCell ref="F10:I10"/>
    <mergeCell ref="F11:I11"/>
    <mergeCell ref="F27:I27"/>
    <mergeCell ref="F28:I28"/>
    <mergeCell ref="F29:I29"/>
    <mergeCell ref="F30:I30"/>
    <mergeCell ref="F31:I31"/>
    <mergeCell ref="F39:I39"/>
    <mergeCell ref="F40:I40"/>
    <mergeCell ref="F41:I41"/>
    <mergeCell ref="F33:I33"/>
    <mergeCell ref="F34:I34"/>
    <mergeCell ref="F35:I35"/>
    <mergeCell ref="F36:I36"/>
    <mergeCell ref="F37:I37"/>
    <mergeCell ref="F38:I38"/>
  </mergeCells>
  <conditionalFormatting sqref="B10:D13">
    <cfRule type="expression" dxfId="47" priority="372">
      <formula>$C$30="Yes"</formula>
    </cfRule>
  </conditionalFormatting>
  <conditionalFormatting sqref="B15:D17">
    <cfRule type="expression" dxfId="46" priority="348">
      <formula>$C$30="No"</formula>
    </cfRule>
    <cfRule type="expression" dxfId="45" priority="349">
      <formula>$C$30="Yes"</formula>
    </cfRule>
  </conditionalFormatting>
  <conditionalFormatting sqref="B19:D20">
    <cfRule type="expression" dxfId="44" priority="311">
      <formula>$C$30="No"</formula>
    </cfRule>
    <cfRule type="expression" dxfId="43" priority="312">
      <formula>$C$30="Yes"</formula>
    </cfRule>
  </conditionalFormatting>
  <conditionalFormatting sqref="B22:D24">
    <cfRule type="expression" dxfId="42" priority="285">
      <formula>$C$30="No"</formula>
    </cfRule>
    <cfRule type="expression" dxfId="41" priority="286">
      <formula>$C$30="Yes"</formula>
    </cfRule>
  </conditionalFormatting>
  <conditionalFormatting sqref="B26:D28">
    <cfRule type="expression" dxfId="40" priority="264">
      <formula>$C$30="No"</formula>
    </cfRule>
    <cfRule type="expression" dxfId="39" priority="265">
      <formula>$C$30="Yes"</formula>
    </cfRule>
  </conditionalFormatting>
  <conditionalFormatting sqref="B30:D32">
    <cfRule type="expression" dxfId="38" priority="245">
      <formula>$C$30="No"</formula>
    </cfRule>
    <cfRule type="expression" dxfId="37" priority="246">
      <formula>$C$30="Yes"</formula>
    </cfRule>
  </conditionalFormatting>
  <conditionalFormatting sqref="B34:D36">
    <cfRule type="expression" dxfId="36" priority="226">
      <formula>$C$30="No"</formula>
    </cfRule>
    <cfRule type="expression" dxfId="35" priority="227">
      <formula>$C$30="Yes"</formula>
    </cfRule>
  </conditionalFormatting>
  <conditionalFormatting sqref="B38:D41">
    <cfRule type="expression" dxfId="34" priority="201">
      <formula>$C$30="No"</formula>
    </cfRule>
    <cfRule type="expression" dxfId="33" priority="202">
      <formula>$C$30="Yes"</formula>
    </cfRule>
  </conditionalFormatting>
  <conditionalFormatting sqref="B43:D46">
    <cfRule type="expression" dxfId="32" priority="176">
      <formula>$C$30="No"</formula>
    </cfRule>
    <cfRule type="expression" dxfId="31" priority="177">
      <formula>$C$30="Yes"</formula>
    </cfRule>
  </conditionalFormatting>
  <conditionalFormatting sqref="B48:D53">
    <cfRule type="expression" dxfId="30" priority="139">
      <formula>$C$30="No"</formula>
    </cfRule>
    <cfRule type="expression" dxfId="29" priority="140">
      <formula>$C$30="Yes"</formula>
    </cfRule>
  </conditionalFormatting>
  <conditionalFormatting sqref="B55:D57">
    <cfRule type="expression" dxfId="28" priority="120">
      <formula>$C$30="No"</formula>
    </cfRule>
    <cfRule type="expression" dxfId="27" priority="121">
      <formula>$C$30="Yes"</formula>
    </cfRule>
  </conditionalFormatting>
  <conditionalFormatting sqref="B59:D61">
    <cfRule type="expression" dxfId="26" priority="83">
      <formula>$C$30="No"</formula>
    </cfRule>
    <cfRule type="expression" dxfId="25" priority="84">
      <formula>$C$30="Yes"</formula>
    </cfRule>
  </conditionalFormatting>
  <conditionalFormatting sqref="B63:D65">
    <cfRule type="expression" dxfId="24" priority="39">
      <formula>$C$30="No"</formula>
    </cfRule>
    <cfRule type="expression" dxfId="23" priority="40">
      <formula>$C$30="Yes"</formula>
    </cfRule>
  </conditionalFormatting>
  <conditionalFormatting sqref="B67:D69">
    <cfRule type="expression" dxfId="22" priority="45">
      <formula>$C$30="No"</formula>
    </cfRule>
    <cfRule type="expression" dxfId="21" priority="46">
      <formula>$C$30="Yes"</formula>
    </cfRule>
  </conditionalFormatting>
  <conditionalFormatting sqref="B71:D73">
    <cfRule type="expression" dxfId="20" priority="20">
      <formula>$C$30="No"</formula>
    </cfRule>
    <cfRule type="expression" dxfId="19" priority="21">
      <formula>$C$30="Yes"</formula>
    </cfRule>
  </conditionalFormatting>
  <conditionalFormatting sqref="B75:D77">
    <cfRule type="expression" dxfId="18" priority="1">
      <formula>$C$30="No"</formula>
    </cfRule>
    <cfRule type="expression" dxfId="17" priority="2">
      <formula>$C$30="Yes"</formula>
    </cfRule>
  </conditionalFormatting>
  <conditionalFormatting sqref="B10:I13">
    <cfRule type="expression" dxfId="16" priority="371">
      <formula>$C$30="No"</formula>
    </cfRule>
  </conditionalFormatting>
  <conditionalFormatting sqref="E15:I17">
    <cfRule type="expression" dxfId="15" priority="338">
      <formula>$C$29="No"</formula>
    </cfRule>
  </conditionalFormatting>
  <conditionalFormatting sqref="E19:I20">
    <cfRule type="expression" dxfId="14" priority="308">
      <formula>$C$29="No"</formula>
    </cfRule>
  </conditionalFormatting>
  <conditionalFormatting sqref="F18:I18">
    <cfRule type="expression" dxfId="13" priority="333">
      <formula>$C$30="No"</formula>
    </cfRule>
  </conditionalFormatting>
  <conditionalFormatting sqref="F21:I21">
    <cfRule type="expression" dxfId="12" priority="307">
      <formula>$C$30="No"</formula>
    </cfRule>
  </conditionalFormatting>
  <conditionalFormatting sqref="F25:I25">
    <cfRule type="expression" dxfId="11" priority="282">
      <formula>$C$30="No"</formula>
    </cfRule>
  </conditionalFormatting>
  <conditionalFormatting sqref="F29:I29">
    <cfRule type="expression" dxfId="10" priority="263">
      <formula>$C$30="No"</formula>
    </cfRule>
  </conditionalFormatting>
  <conditionalFormatting sqref="F33:I33">
    <cfRule type="expression" dxfId="9" priority="244">
      <formula>$C$30="No"</formula>
    </cfRule>
  </conditionalFormatting>
  <conditionalFormatting sqref="F37:I37">
    <cfRule type="expression" dxfId="8" priority="225">
      <formula>$C$30="No"</formula>
    </cfRule>
  </conditionalFormatting>
  <conditionalFormatting sqref="F42:I42">
    <cfRule type="expression" dxfId="7" priority="200">
      <formula>$C$30="No"</formula>
    </cfRule>
  </conditionalFormatting>
  <conditionalFormatting sqref="F47:I47">
    <cfRule type="expression" dxfId="6" priority="175">
      <formula>$C$30="No"</formula>
    </cfRule>
  </conditionalFormatting>
  <conditionalFormatting sqref="F54:I54">
    <cfRule type="expression" dxfId="5" priority="138">
      <formula>$C$30="No"</formula>
    </cfRule>
  </conditionalFormatting>
  <conditionalFormatting sqref="F58:I58">
    <cfRule type="expression" dxfId="4" priority="101">
      <formula>$C$30="No"</formula>
    </cfRule>
  </conditionalFormatting>
  <conditionalFormatting sqref="F62:I62">
    <cfRule type="expression" dxfId="3" priority="82">
      <formula>$C$30="No"</formula>
    </cfRule>
  </conditionalFormatting>
  <conditionalFormatting sqref="F66:I66">
    <cfRule type="expression" dxfId="2" priority="63">
      <formula>$C$30="No"</formula>
    </cfRule>
  </conditionalFormatting>
  <conditionalFormatting sqref="F70:I70">
    <cfRule type="expression" dxfId="1" priority="38">
      <formula>$C$30="No"</formula>
    </cfRule>
  </conditionalFormatting>
  <conditionalFormatting sqref="F74:I74">
    <cfRule type="expression" dxfId="0" priority="19">
      <formula>$C$30="No"</formula>
    </cfRule>
  </conditionalFormatting>
  <hyperlinks>
    <hyperlink ref="L35" r:id="rId1" display="Salary data" xr:uid="{C256E91F-9A21-4365-A724-031FA7FB625A}"/>
    <hyperlink ref="J22" r:id="rId2" xr:uid="{2CFA2CB1-5F6E-44AE-B1B9-2F856A597902}"/>
    <hyperlink ref="J23" r:id="rId3" xr:uid="{EE9B08FE-C6F7-4FCF-B42E-1D2E0B19D48B}"/>
    <hyperlink ref="J24" r:id="rId4" xr:uid="{5892AB30-945E-4588-A300-3F1E67889781}"/>
    <hyperlink ref="J25" r:id="rId5" xr:uid="{BEE0B590-CFDB-4DEC-BD2A-784D30FB58A8}"/>
    <hyperlink ref="J29" r:id="rId6" xr:uid="{EFDD034E-F6B7-40EF-82BE-B685F336BD47}"/>
    <hyperlink ref="J33" r:id="rId7" xr:uid="{39297C98-E83E-4DCA-8AAD-BCEF17608BB5}"/>
    <hyperlink ref="J34" r:id="rId8" xr:uid="{5B064C52-4C70-4003-9380-F89EBBDA7B46}"/>
    <hyperlink ref="J35" r:id="rId9" xr:uid="{FB342A83-F428-407A-8E9D-FF2D25CC04C7}"/>
    <hyperlink ref="J36" r:id="rId10" xr:uid="{02CA3EA0-0E37-4D62-B5B0-9CB9DF3DD33F}"/>
    <hyperlink ref="J37" r:id="rId11" xr:uid="{CC4074F9-C8F9-47F7-92C0-DCEA43DB71B6}"/>
    <hyperlink ref="J38" r:id="rId12" xr:uid="{0D963552-C5C6-4272-8807-DAD5283E6DF4}"/>
    <hyperlink ref="J39" r:id="rId13" xr:uid="{84362BB4-E68D-4D0E-87AE-7E0F5827E0DA}"/>
    <hyperlink ref="J40" r:id="rId14" xr:uid="{F6A4D623-DCD9-4C4C-A0C6-24356EBDCDCB}"/>
    <hyperlink ref="J41" r:id="rId15" xr:uid="{37048877-B065-4893-AE7B-E61AC063C069}"/>
    <hyperlink ref="J42" r:id="rId16" xr:uid="{928C3EAE-507F-4DAD-A19C-0382FBCB3B52}"/>
    <hyperlink ref="J47" r:id="rId17" xr:uid="{5B7247B4-9138-4B27-B391-D509966290EC}"/>
    <hyperlink ref="J54" r:id="rId18" xr:uid="{FAD2F7D0-3DC8-4D02-AFF9-982B0D79ECA0}"/>
    <hyperlink ref="J55" r:id="rId19" xr:uid="{896E5B3F-D83F-4D3D-89D9-E0E2E18D48EE}"/>
    <hyperlink ref="J56" r:id="rId20" xr:uid="{6F708572-D31B-490A-8441-0F69C1A8B9B8}"/>
    <hyperlink ref="J57" r:id="rId21" xr:uid="{5C285E89-CBC5-436E-B4F7-EB55B5163E79}"/>
    <hyperlink ref="J58" r:id="rId22" xr:uid="{16842792-18E2-4457-9022-ACF6199B5E62}"/>
    <hyperlink ref="J62" r:id="rId23" xr:uid="{6A29329E-763D-4D9C-B391-9407D01C6320}"/>
    <hyperlink ref="J66" r:id="rId24" xr:uid="{87D07313-9FC9-4DC2-B171-6A0C391D10A8}"/>
    <hyperlink ref="J67" r:id="rId25" xr:uid="{2D511FE5-8900-4C36-836C-6D9A20B0B891}"/>
    <hyperlink ref="J68" r:id="rId26" xr:uid="{11B84759-50C9-4DED-B0F6-1C576F0CA155}"/>
    <hyperlink ref="J69" r:id="rId27" xr:uid="{638EA222-C5AB-4942-ABD4-F83936AF8871}"/>
    <hyperlink ref="J70" r:id="rId28" xr:uid="{CBC2DFAE-2CB0-4A9C-BEAE-B493615BE9B9}"/>
    <hyperlink ref="J74" r:id="rId29" xr:uid="{052301AA-9703-496D-9AEA-30588F8BE6C5}"/>
    <hyperlink ref="J75" r:id="rId30" xr:uid="{45B36BF0-F7B1-47D7-94A6-6C6EE950DD77}"/>
    <hyperlink ref="J76" r:id="rId31" xr:uid="{5D7E1D94-90D8-4510-A662-635C9450F37F}"/>
    <hyperlink ref="J77" r:id="rId32" xr:uid="{31EB7E69-DB09-4614-9211-88D89EAF3F25}"/>
  </hyperlinks>
  <pageMargins left="0.7" right="0.7" top="0.75" bottom="0.75" header="0.3" footer="0.3"/>
  <pageSetup orientation="portrait" r:id="rId33"/>
  <drawing r:id="rId3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6BC2F-1F56-4D30-8C13-A29C41A95697}">
  <sheetPr codeName="Sheet28"/>
  <dimension ref="A1:G29"/>
  <sheetViews>
    <sheetView topLeftCell="A3" zoomScale="88" zoomScaleNormal="112" workbookViewId="0">
      <selection activeCell="Q18" sqref="Q18"/>
    </sheetView>
  </sheetViews>
  <sheetFormatPr defaultColWidth="8.85546875" defaultRowHeight="15"/>
  <cols>
    <col min="2" max="2" width="21" customWidth="1"/>
    <col min="3" max="7" width="23.42578125" customWidth="1"/>
  </cols>
  <sheetData>
    <row r="1" spans="1:7">
      <c r="A1" s="319" t="s">
        <v>430</v>
      </c>
      <c r="B1" s="320"/>
      <c r="C1" s="320"/>
    </row>
    <row r="3" spans="1:7" ht="27.95" customHeight="1">
      <c r="A3" s="1064" t="s">
        <v>431</v>
      </c>
      <c r="B3" s="1064"/>
      <c r="C3" s="1064"/>
      <c r="D3" s="1064"/>
      <c r="E3" s="1064"/>
      <c r="F3" s="1064"/>
      <c r="G3" s="1064"/>
    </row>
    <row r="5" spans="1:7" ht="15.75" thickBot="1"/>
    <row r="6" spans="1:7" ht="18.75">
      <c r="B6" s="287"/>
      <c r="C6" s="321" t="s">
        <v>53</v>
      </c>
      <c r="D6" s="321" t="s">
        <v>54</v>
      </c>
      <c r="E6" s="322" t="s">
        <v>55</v>
      </c>
      <c r="F6" s="321" t="s">
        <v>56</v>
      </c>
      <c r="G6" s="322" t="s">
        <v>57</v>
      </c>
    </row>
    <row r="7" spans="1:7" s="323" customFormat="1" ht="21.75" customHeight="1" thickBot="1">
      <c r="C7" s="324" t="s">
        <v>432</v>
      </c>
      <c r="D7" s="1065" t="s">
        <v>433</v>
      </c>
      <c r="E7" s="1066"/>
      <c r="F7" s="1065" t="s">
        <v>434</v>
      </c>
      <c r="G7" s="1066"/>
    </row>
    <row r="8" spans="1:7" ht="24.95" customHeight="1">
      <c r="B8" s="325" t="s">
        <v>435</v>
      </c>
      <c r="C8" s="326">
        <v>2544578</v>
      </c>
      <c r="D8" s="327">
        <v>1335120</v>
      </c>
      <c r="E8" s="327">
        <v>487235</v>
      </c>
      <c r="F8" s="328">
        <v>613937</v>
      </c>
      <c r="G8" s="329" t="s">
        <v>436</v>
      </c>
    </row>
    <row r="9" spans="1:7" ht="24.95" customHeight="1">
      <c r="B9" s="325" t="s">
        <v>437</v>
      </c>
      <c r="C9" s="330">
        <f>C8/C$12</f>
        <v>0.53260669127738591</v>
      </c>
      <c r="D9" s="331">
        <f>D8/D$12</f>
        <v>0.43209584869266343</v>
      </c>
      <c r="E9" s="331">
        <f>E8/E$12</f>
        <v>0.25468416361968432</v>
      </c>
      <c r="F9" s="332">
        <f>F8/F$12</f>
        <v>0.40268726223271678</v>
      </c>
      <c r="G9" s="333" t="s">
        <v>436</v>
      </c>
    </row>
    <row r="10" spans="1:7" ht="24.95" customHeight="1">
      <c r="B10" s="325" t="s">
        <v>438</v>
      </c>
      <c r="C10" s="334">
        <v>2233015</v>
      </c>
      <c r="D10" s="335">
        <v>1754750</v>
      </c>
      <c r="E10" s="335">
        <v>1425860</v>
      </c>
      <c r="F10" s="336">
        <v>910663</v>
      </c>
      <c r="G10" s="336">
        <v>2978209</v>
      </c>
    </row>
    <row r="11" spans="1:7" ht="24.95" customHeight="1">
      <c r="B11" s="325" t="s">
        <v>439</v>
      </c>
      <c r="C11" s="337">
        <f>C10/C$12</f>
        <v>0.46739330872261409</v>
      </c>
      <c r="D11" s="338">
        <f>D10/D$12</f>
        <v>0.56790415130733651</v>
      </c>
      <c r="E11" s="338">
        <f>E10/E$12</f>
        <v>0.74531583638031562</v>
      </c>
      <c r="F11" s="339">
        <f>F10/F$12</f>
        <v>0.59731273776728322</v>
      </c>
      <c r="G11" s="333" t="s">
        <v>436</v>
      </c>
    </row>
    <row r="12" spans="1:7" ht="24.95" customHeight="1">
      <c r="B12" s="325" t="s">
        <v>440</v>
      </c>
      <c r="C12" s="340">
        <v>4777593</v>
      </c>
      <c r="D12" s="341">
        <v>3089870</v>
      </c>
      <c r="E12" s="341">
        <v>1913095</v>
      </c>
      <c r="F12" s="342">
        <v>1524600</v>
      </c>
      <c r="G12" s="333" t="s">
        <v>436</v>
      </c>
    </row>
    <row r="13" spans="1:7">
      <c r="B13" s="343" t="s">
        <v>441</v>
      </c>
    </row>
    <row r="15" spans="1:7" ht="15.75" thickBot="1"/>
    <row r="16" spans="1:7" ht="18.75">
      <c r="B16" s="321" t="s">
        <v>53</v>
      </c>
    </row>
    <row r="17" spans="2:7" ht="111.75" customHeight="1">
      <c r="B17" s="1067" t="s">
        <v>442</v>
      </c>
      <c r="C17" s="1068"/>
      <c r="D17" s="1068"/>
      <c r="E17" s="1068"/>
      <c r="F17" s="1068"/>
      <c r="G17" s="1068"/>
    </row>
    <row r="18" spans="2:7" ht="15.75" thickBot="1"/>
    <row r="19" spans="2:7" ht="19.5" thickBot="1">
      <c r="B19" s="321" t="s">
        <v>54</v>
      </c>
    </row>
    <row r="20" spans="2:7" ht="87.75" customHeight="1" thickBot="1">
      <c r="B20" s="1069" t="s">
        <v>443</v>
      </c>
      <c r="C20" s="1070"/>
      <c r="D20" s="1070"/>
      <c r="E20" s="1070"/>
      <c r="F20" s="1070"/>
      <c r="G20" s="1071"/>
    </row>
    <row r="21" spans="2:7" ht="15.75" thickBot="1"/>
    <row r="22" spans="2:7" ht="19.5" thickBot="1">
      <c r="B22" s="322" t="s">
        <v>55</v>
      </c>
    </row>
    <row r="23" spans="2:7" ht="83.45" customHeight="1" thickBot="1">
      <c r="B23" s="1069" t="s">
        <v>444</v>
      </c>
      <c r="C23" s="1072"/>
      <c r="D23" s="1072"/>
      <c r="E23" s="1072"/>
      <c r="F23" s="1072"/>
      <c r="G23" s="1073"/>
    </row>
    <row r="24" spans="2:7" ht="15.75" thickBot="1"/>
    <row r="25" spans="2:7" ht="19.5" thickBot="1">
      <c r="B25" s="321" t="s">
        <v>56</v>
      </c>
    </row>
    <row r="26" spans="2:7" ht="129.94999999999999" customHeight="1" thickBot="1">
      <c r="B26" s="1058" t="s">
        <v>445</v>
      </c>
      <c r="C26" s="1059"/>
      <c r="D26" s="1059"/>
      <c r="E26" s="1059"/>
      <c r="F26" s="1059"/>
      <c r="G26" s="1060"/>
    </row>
    <row r="27" spans="2:7" ht="15.75" thickBot="1"/>
    <row r="28" spans="2:7" ht="19.5" thickBot="1">
      <c r="B28" s="322" t="s">
        <v>57</v>
      </c>
    </row>
    <row r="29" spans="2:7" ht="131.44999999999999" customHeight="1" thickBot="1">
      <c r="B29" s="1061" t="s">
        <v>446</v>
      </c>
      <c r="C29" s="1062"/>
      <c r="D29" s="1062"/>
      <c r="E29" s="1062"/>
      <c r="F29" s="1062"/>
      <c r="G29" s="1063"/>
    </row>
  </sheetData>
  <mergeCells count="8">
    <mergeCell ref="B26:G26"/>
    <mergeCell ref="B29:G29"/>
    <mergeCell ref="A3:G3"/>
    <mergeCell ref="D7:E7"/>
    <mergeCell ref="F7:G7"/>
    <mergeCell ref="B17:G17"/>
    <mergeCell ref="B20:G20"/>
    <mergeCell ref="B23:G2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06006-F765-4D74-B6DC-5D0AB37270CC}">
  <sheetPr codeName="Sheet29"/>
  <dimension ref="A1:P51"/>
  <sheetViews>
    <sheetView zoomScale="90" zoomScaleNormal="90" workbookViewId="0">
      <pane xSplit="1" ySplit="5" topLeftCell="B6" activePane="bottomRight" state="frozen"/>
      <selection pane="topRight" activeCell="C1" sqref="C1"/>
      <selection pane="bottomLeft" activeCell="A3" sqref="A3"/>
      <selection pane="bottomRight" activeCell="P52" sqref="P52"/>
    </sheetView>
  </sheetViews>
  <sheetFormatPr defaultColWidth="8.5703125" defaultRowHeight="14.25"/>
  <cols>
    <col min="1" max="1" width="17" style="441" customWidth="1"/>
    <col min="2" max="2" width="76.85546875" style="441" customWidth="1"/>
    <col min="3" max="12" width="11.5703125" style="441" hidden="1" customWidth="1"/>
    <col min="13" max="13" width="21" style="447" customWidth="1"/>
    <col min="14" max="15" width="10.5703125" style="441" customWidth="1"/>
    <col min="16" max="16" width="24.140625" style="447" customWidth="1"/>
    <col min="17" max="17" width="26.5703125" style="441" customWidth="1"/>
    <col min="18" max="16384" width="8.5703125" style="441"/>
  </cols>
  <sheetData>
    <row r="1" spans="1:16">
      <c r="A1" s="440" t="s">
        <v>90</v>
      </c>
      <c r="B1" s="440"/>
      <c r="M1" s="442"/>
      <c r="N1" s="440"/>
      <c r="O1" s="440"/>
      <c r="P1" s="442"/>
    </row>
    <row r="2" spans="1:16">
      <c r="A2" s="440" t="s">
        <v>92</v>
      </c>
      <c r="B2" s="440"/>
      <c r="M2" s="442"/>
      <c r="N2" s="440"/>
      <c r="O2" s="440"/>
      <c r="P2" s="442"/>
    </row>
    <row r="3" spans="1:16">
      <c r="A3" s="440" t="s">
        <v>91</v>
      </c>
      <c r="B3" s="440"/>
      <c r="M3" s="442"/>
      <c r="N3" s="440"/>
      <c r="O3" s="440"/>
      <c r="P3" s="442"/>
    </row>
    <row r="4" spans="1:16">
      <c r="A4" s="443" t="s">
        <v>50</v>
      </c>
      <c r="B4" s="443" t="s">
        <v>51</v>
      </c>
      <c r="C4" s="1075" t="s">
        <v>52</v>
      </c>
      <c r="D4" s="1075"/>
      <c r="E4" s="1075"/>
      <c r="F4" s="1075"/>
      <c r="G4" s="1075"/>
      <c r="H4" s="1075" t="s">
        <v>59</v>
      </c>
      <c r="I4" s="1075"/>
      <c r="J4" s="1075"/>
      <c r="K4" s="1075"/>
      <c r="L4" s="1075"/>
      <c r="M4" s="1075" t="s">
        <v>64</v>
      </c>
      <c r="N4" s="1075"/>
      <c r="O4" s="1075"/>
      <c r="P4" s="1075"/>
    </row>
    <row r="5" spans="1:16">
      <c r="A5" s="1074" t="s">
        <v>499</v>
      </c>
      <c r="B5" s="1074"/>
      <c r="C5" s="444" t="s">
        <v>53</v>
      </c>
      <c r="D5" s="444" t="s">
        <v>54</v>
      </c>
      <c r="E5" s="444" t="s">
        <v>55</v>
      </c>
      <c r="F5" s="444" t="s">
        <v>56</v>
      </c>
      <c r="G5" s="444" t="s">
        <v>57</v>
      </c>
      <c r="H5" s="444" t="s">
        <v>53</v>
      </c>
      <c r="I5" s="444" t="s">
        <v>54</v>
      </c>
      <c r="J5" s="444" t="s">
        <v>55</v>
      </c>
      <c r="K5" s="444" t="s">
        <v>56</v>
      </c>
      <c r="L5" s="444" t="s">
        <v>57</v>
      </c>
      <c r="M5" s="445" t="s">
        <v>62</v>
      </c>
      <c r="N5" s="444" t="s">
        <v>69</v>
      </c>
      <c r="O5" s="444" t="s">
        <v>60</v>
      </c>
      <c r="P5" s="445" t="s">
        <v>61</v>
      </c>
    </row>
    <row r="6" spans="1:16" ht="91.5" customHeight="1">
      <c r="A6" s="446" t="s">
        <v>0</v>
      </c>
      <c r="B6" s="447" t="s">
        <v>1</v>
      </c>
      <c r="C6" s="2">
        <v>153000</v>
      </c>
      <c r="E6" s="2">
        <v>82568</v>
      </c>
      <c r="F6" s="2">
        <v>311959</v>
      </c>
      <c r="G6" s="2">
        <v>0</v>
      </c>
      <c r="H6" s="3">
        <f t="shared" ref="H6:L8" si="0">C6/C$9</f>
        <v>0.20372836218375498</v>
      </c>
      <c r="I6" s="3">
        <f t="shared" si="0"/>
        <v>0</v>
      </c>
      <c r="J6" s="3">
        <f t="shared" si="0"/>
        <v>0.26465968754207025</v>
      </c>
      <c r="K6" s="3">
        <f t="shared" si="0"/>
        <v>0.58246294712707203</v>
      </c>
      <c r="L6" s="3" t="e">
        <f t="shared" si="0"/>
        <v>#DIV/0!</v>
      </c>
      <c r="M6" s="1" t="s">
        <v>86</v>
      </c>
      <c r="N6" s="4">
        <v>10000</v>
      </c>
      <c r="O6" s="448">
        <f>N6/$N$9</f>
        <v>1.6447368421052631E-2</v>
      </c>
      <c r="P6" s="9" t="str">
        <f>IF(O6&lt;20%,"Check should be between 20% and 40% of Project Scoping Costs", IF(O6&gt;40%, "Check should be between 20% and 40% of Project Scoping Costs","Valid input"))</f>
        <v>Check should be between 20% and 40% of Project Scoping Costs</v>
      </c>
    </row>
    <row r="7" spans="1:16" ht="57">
      <c r="A7" s="446" t="s">
        <v>2</v>
      </c>
      <c r="B7" s="447" t="s">
        <v>58</v>
      </c>
      <c r="C7" s="2">
        <v>16000</v>
      </c>
      <c r="E7" s="2">
        <v>24090</v>
      </c>
      <c r="F7" s="2">
        <v>0</v>
      </c>
      <c r="G7" s="2">
        <v>0</v>
      </c>
      <c r="H7" s="3">
        <f t="shared" si="0"/>
        <v>2.1304926764314249E-2</v>
      </c>
      <c r="I7" s="3">
        <f t="shared" si="0"/>
        <v>0</v>
      </c>
      <c r="J7" s="3">
        <f t="shared" si="0"/>
        <v>7.721698324881883E-2</v>
      </c>
      <c r="K7" s="3">
        <f t="shared" si="0"/>
        <v>0</v>
      </c>
      <c r="L7" s="3" t="e">
        <f t="shared" si="0"/>
        <v>#DIV/0!</v>
      </c>
      <c r="M7" s="1" t="s">
        <v>87</v>
      </c>
      <c r="N7" s="4">
        <v>16000</v>
      </c>
      <c r="O7" s="448">
        <f>N7/$N$9</f>
        <v>2.6315789473684209E-2</v>
      </c>
      <c r="P7" s="9" t="str">
        <f>IF(O7&lt;2%,"Check should be between 2% and 10% of Project Scoping Costs", IF(O7&gt;10%, "Check should be between 2% and 10% of Project Scoping Costs","Valid input"))</f>
        <v>Valid input</v>
      </c>
    </row>
    <row r="8" spans="1:16" ht="85.5">
      <c r="A8" s="446" t="s">
        <v>3</v>
      </c>
      <c r="B8" s="447" t="s">
        <v>4</v>
      </c>
      <c r="C8" s="2">
        <v>582000</v>
      </c>
      <c r="D8" s="2">
        <v>221760</v>
      </c>
      <c r="E8" s="2">
        <v>205320</v>
      </c>
      <c r="F8" s="2">
        <v>223627</v>
      </c>
      <c r="G8" s="2">
        <v>0</v>
      </c>
      <c r="H8" s="3">
        <f t="shared" si="0"/>
        <v>0.77496671105193071</v>
      </c>
      <c r="I8" s="3">
        <f t="shared" si="0"/>
        <v>1</v>
      </c>
      <c r="J8" s="3">
        <f t="shared" si="0"/>
        <v>0.65812332920911087</v>
      </c>
      <c r="K8" s="3">
        <f t="shared" si="0"/>
        <v>0.41753705287292797</v>
      </c>
      <c r="L8" s="3" t="e">
        <f t="shared" si="0"/>
        <v>#DIV/0!</v>
      </c>
      <c r="M8" s="1" t="s">
        <v>63</v>
      </c>
      <c r="N8" s="4">
        <v>582000</v>
      </c>
      <c r="O8" s="448">
        <f>N8/$N$9</f>
        <v>0.95723684210526316</v>
      </c>
      <c r="P8" s="9" t="str">
        <f>IF(O8&lt;60%,"Check should be greater than or equal to 60% of Project Scoping Costs","Valid input")</f>
        <v>Valid input</v>
      </c>
    </row>
    <row r="9" spans="1:16">
      <c r="A9" s="449"/>
      <c r="B9" s="450"/>
      <c r="C9" s="5">
        <f>SUM(C6:C8)</f>
        <v>751000</v>
      </c>
      <c r="D9" s="5">
        <f>SUM(D6:D8)</f>
        <v>221760</v>
      </c>
      <c r="E9" s="5">
        <f>SUM(E6:E8)</f>
        <v>311978</v>
      </c>
      <c r="F9" s="5">
        <f>SUM(F6:F8)</f>
        <v>535586</v>
      </c>
      <c r="G9" s="5">
        <f>SUM(G6:G8)</f>
        <v>0</v>
      </c>
      <c r="H9" s="451"/>
      <c r="I9" s="451"/>
      <c r="J9" s="451"/>
      <c r="K9" s="451"/>
      <c r="L9" s="451"/>
      <c r="M9" s="450"/>
      <c r="N9" s="452">
        <f>SUM(N6:N8)</f>
        <v>608000</v>
      </c>
      <c r="O9" s="453">
        <f>SUM(O6:O8)</f>
        <v>1</v>
      </c>
      <c r="P9" s="10" t="str">
        <f>IF(O9=100%,"Correct","Adjust data values to equal 100")</f>
        <v>Correct</v>
      </c>
    </row>
    <row r="10" spans="1:16">
      <c r="A10" s="1074" t="s">
        <v>500</v>
      </c>
      <c r="B10" s="1074"/>
      <c r="C10" s="444" t="s">
        <v>53</v>
      </c>
      <c r="D10" s="444" t="s">
        <v>54</v>
      </c>
      <c r="E10" s="444" t="s">
        <v>55</v>
      </c>
      <c r="F10" s="444" t="s">
        <v>56</v>
      </c>
      <c r="G10" s="444" t="s">
        <v>57</v>
      </c>
      <c r="H10" s="444" t="s">
        <v>53</v>
      </c>
      <c r="I10" s="444" t="s">
        <v>54</v>
      </c>
      <c r="J10" s="444" t="s">
        <v>55</v>
      </c>
      <c r="K10" s="444" t="s">
        <v>56</v>
      </c>
      <c r="L10" s="444" t="s">
        <v>57</v>
      </c>
      <c r="M10" s="445" t="s">
        <v>62</v>
      </c>
      <c r="N10" s="444"/>
      <c r="O10" s="444" t="s">
        <v>60</v>
      </c>
      <c r="P10" s="445" t="s">
        <v>61</v>
      </c>
    </row>
    <row r="11" spans="1:16" ht="28.5">
      <c r="A11" s="446" t="s">
        <v>84</v>
      </c>
      <c r="B11" s="447" t="s">
        <v>85</v>
      </c>
      <c r="C11" s="454"/>
      <c r="D11" s="454"/>
      <c r="E11" s="454"/>
      <c r="F11" s="454"/>
      <c r="G11" s="454"/>
      <c r="H11" s="454"/>
      <c r="I11" s="454"/>
      <c r="J11" s="454"/>
      <c r="K11" s="454"/>
      <c r="L11" s="454"/>
      <c r="M11" s="455" t="s">
        <v>73</v>
      </c>
      <c r="N11" s="456" t="s">
        <v>65</v>
      </c>
      <c r="O11" s="457" t="s">
        <v>70</v>
      </c>
      <c r="P11" s="457" t="s">
        <v>70</v>
      </c>
    </row>
    <row r="12" spans="1:16" ht="69.95" customHeight="1">
      <c r="A12" s="446" t="s">
        <v>5</v>
      </c>
      <c r="B12" s="447" t="s">
        <v>6</v>
      </c>
      <c r="C12" s="2">
        <v>42590</v>
      </c>
      <c r="D12" s="2">
        <v>270000</v>
      </c>
      <c r="E12" s="2">
        <v>60000</v>
      </c>
      <c r="F12" s="2">
        <v>40936</v>
      </c>
      <c r="G12" s="2">
        <v>0</v>
      </c>
      <c r="H12" s="3" t="e">
        <f>C12/#REF!</f>
        <v>#REF!</v>
      </c>
      <c r="I12" s="3" t="e">
        <f>D12/#REF!</f>
        <v>#REF!</v>
      </c>
      <c r="J12" s="3" t="e">
        <f>E12/#REF!</f>
        <v>#REF!</v>
      </c>
      <c r="K12" s="3" t="e">
        <f>F12/#REF!</f>
        <v>#REF!</v>
      </c>
      <c r="L12" s="3" t="e">
        <f>G12/#REF!</f>
        <v>#REF!</v>
      </c>
      <c r="M12" s="1" t="str">
        <f>IF(N11="no","Greater than 50% of the Deployment Costs","Please input appropriate costs taking equipment and infrastructure sharing into consideration")</f>
        <v>Please input appropriate costs taking equipment and infrastructure sharing into consideration</v>
      </c>
      <c r="N12" s="4">
        <f>C12+C13</f>
        <v>185590</v>
      </c>
      <c r="O12" s="448">
        <f>N12/N19</f>
        <v>9.3292341472389309E-2</v>
      </c>
      <c r="P12" s="9" t="str">
        <f>IF(AND(O12&lt;40%,N11="no"),"Check should be greater than 50% of Deployment Costs","Valid input")</f>
        <v>Valid input</v>
      </c>
    </row>
    <row r="13" spans="1:16" ht="72" customHeight="1">
      <c r="A13" s="446" t="s">
        <v>7</v>
      </c>
      <c r="B13" s="447" t="s">
        <v>8</v>
      </c>
      <c r="C13" s="2">
        <v>143000</v>
      </c>
      <c r="D13" s="2">
        <v>5000</v>
      </c>
      <c r="E13" s="2">
        <v>12325</v>
      </c>
      <c r="F13" s="2">
        <v>37415</v>
      </c>
      <c r="G13" s="2">
        <v>0</v>
      </c>
      <c r="H13" s="3" t="e">
        <f>C13/#REF!</f>
        <v>#REF!</v>
      </c>
      <c r="I13" s="3" t="e">
        <f>D13/#REF!</f>
        <v>#REF!</v>
      </c>
      <c r="J13" s="3" t="e">
        <f>E13/#REF!</f>
        <v>#REF!</v>
      </c>
      <c r="K13" s="3" t="e">
        <f>F13/#REF!</f>
        <v>#REF!</v>
      </c>
      <c r="L13" s="3" t="e">
        <f>G13/#REF!</f>
        <v>#REF!</v>
      </c>
      <c r="M13" s="1" t="s">
        <v>67</v>
      </c>
      <c r="N13" s="4"/>
      <c r="O13" s="448"/>
      <c r="P13" s="1"/>
    </row>
    <row r="14" spans="1:16" ht="28.5">
      <c r="A14" s="446" t="s">
        <v>9</v>
      </c>
      <c r="B14" s="447" t="s">
        <v>10</v>
      </c>
      <c r="C14" s="2">
        <v>0</v>
      </c>
      <c r="D14" s="2">
        <v>240</v>
      </c>
      <c r="E14" s="2">
        <v>0</v>
      </c>
      <c r="F14" s="2">
        <v>0</v>
      </c>
      <c r="G14" s="2">
        <v>0</v>
      </c>
      <c r="H14" s="3" t="e">
        <f>C14/#REF!</f>
        <v>#REF!</v>
      </c>
      <c r="I14" s="3" t="e">
        <f>D14/#REF!</f>
        <v>#REF!</v>
      </c>
      <c r="J14" s="3" t="e">
        <f>E14/#REF!</f>
        <v>#REF!</v>
      </c>
      <c r="K14" s="3" t="e">
        <f>F14/#REF!</f>
        <v>#REF!</v>
      </c>
      <c r="L14" s="3" t="e">
        <f>G14/#REF!</f>
        <v>#REF!</v>
      </c>
      <c r="M14" s="1" t="s">
        <v>68</v>
      </c>
      <c r="N14" s="4">
        <v>0</v>
      </c>
    </row>
    <row r="15" spans="1:16" ht="57">
      <c r="A15" s="446" t="s">
        <v>11</v>
      </c>
      <c r="B15" s="447" t="s">
        <v>12</v>
      </c>
      <c r="C15" s="2">
        <v>56850</v>
      </c>
      <c r="D15" s="2">
        <v>310</v>
      </c>
      <c r="E15" s="2">
        <v>0</v>
      </c>
      <c r="F15" s="2">
        <v>0</v>
      </c>
      <c r="G15" s="2">
        <v>0</v>
      </c>
      <c r="H15" s="3" t="e">
        <f>C15/#REF!</f>
        <v>#REF!</v>
      </c>
      <c r="I15" s="3" t="e">
        <f>D15/#REF!</f>
        <v>#REF!</v>
      </c>
      <c r="J15" s="3" t="e">
        <f>E15/#REF!</f>
        <v>#REF!</v>
      </c>
      <c r="K15" s="3" t="e">
        <f>F15/#REF!</f>
        <v>#REF!</v>
      </c>
      <c r="L15" s="3" t="e">
        <f>G15/#REF!</f>
        <v>#REF!</v>
      </c>
      <c r="M15" s="1" t="s">
        <v>72</v>
      </c>
      <c r="N15" s="4">
        <v>56850</v>
      </c>
      <c r="O15" s="448">
        <f>N15/N19</f>
        <v>2.857734583062305E-2</v>
      </c>
      <c r="P15" s="1" t="str">
        <f>IF(AND(O15&gt;10%,P11="no"),"Check should be 10% or less of Deployment Costs","Valid input")</f>
        <v>Valid input</v>
      </c>
    </row>
    <row r="16" spans="1:16" ht="55.5" customHeight="1">
      <c r="A16" s="446" t="s">
        <v>13</v>
      </c>
      <c r="B16" s="447" t="s">
        <v>14</v>
      </c>
      <c r="C16" s="2">
        <v>981200</v>
      </c>
      <c r="D16" s="2">
        <v>74750</v>
      </c>
      <c r="E16" s="2">
        <v>90000</v>
      </c>
      <c r="F16" s="2">
        <v>0</v>
      </c>
      <c r="G16" s="2">
        <v>0</v>
      </c>
      <c r="H16" s="3" t="e">
        <f>C16/#REF!</f>
        <v>#REF!</v>
      </c>
      <c r="I16" s="3" t="e">
        <f>D16/#REF!</f>
        <v>#REF!</v>
      </c>
      <c r="J16" s="3" t="e">
        <f>E16/#REF!</f>
        <v>#REF!</v>
      </c>
      <c r="K16" s="3" t="e">
        <f>F16/#REF!</f>
        <v>#REF!</v>
      </c>
      <c r="L16" s="3" t="e">
        <f>G16/#REF!</f>
        <v>#REF!</v>
      </c>
      <c r="M16" s="1" t="str">
        <f>IF(N11="no","Between 20% to 50% of the Deployment Costs","Please input appropriate costs")</f>
        <v>Please input appropriate costs</v>
      </c>
      <c r="N16" s="4">
        <v>981200</v>
      </c>
      <c r="O16" s="448">
        <f>N16/N19</f>
        <v>0.49322940596318976</v>
      </c>
      <c r="P16" s="11" t="str">
        <f>IF(OR(AND(N11="no",O16&lt;51%,O16&gt;19%), OR(N11="yes")),"Valid input","Between 20% and 50% of Deployment costs")</f>
        <v>Valid input</v>
      </c>
    </row>
    <row r="17" spans="1:16" ht="42.75">
      <c r="A17" s="446" t="s">
        <v>15</v>
      </c>
      <c r="B17" s="447" t="s">
        <v>16</v>
      </c>
      <c r="C17" s="2">
        <v>70638</v>
      </c>
      <c r="D17" s="2">
        <v>68000</v>
      </c>
      <c r="E17" s="2">
        <v>12932</v>
      </c>
      <c r="F17" s="2">
        <v>0</v>
      </c>
      <c r="G17" s="2">
        <v>0</v>
      </c>
      <c r="H17" s="3" t="e">
        <f>C17/#REF!</f>
        <v>#REF!</v>
      </c>
      <c r="I17" s="3" t="e">
        <f>D17/#REF!</f>
        <v>#REF!</v>
      </c>
      <c r="J17" s="3" t="e">
        <f>E17/#REF!</f>
        <v>#REF!</v>
      </c>
      <c r="K17" s="3" t="e">
        <f>F17/#REF!</f>
        <v>#REF!</v>
      </c>
      <c r="L17" s="3" t="e">
        <f>G17/#REF!</f>
        <v>#REF!</v>
      </c>
      <c r="M17" s="1" t="s">
        <v>71</v>
      </c>
      <c r="N17" s="4">
        <v>70638</v>
      </c>
      <c r="O17" s="448">
        <f>N17/N19</f>
        <v>3.5508294719147779E-2</v>
      </c>
      <c r="P17" s="447" t="str">
        <f>IF(AND(O17&lt;21%,O17&gt;4%),"Valid input","Check should be between 5% and 20% of the Deployment costs")</f>
        <v>Check should be between 5% and 20% of the Deployment costs</v>
      </c>
    </row>
    <row r="18" spans="1:16" ht="42.75">
      <c r="A18" s="446" t="s">
        <v>17</v>
      </c>
      <c r="B18" s="447" t="s">
        <v>18</v>
      </c>
      <c r="C18" s="2">
        <v>499300</v>
      </c>
      <c r="D18" s="2">
        <v>695060</v>
      </c>
      <c r="E18" s="2">
        <v>0</v>
      </c>
      <c r="F18" s="6">
        <v>0</v>
      </c>
      <c r="G18" s="2">
        <v>0</v>
      </c>
      <c r="H18" s="3">
        <f>C18/C19</f>
        <v>1</v>
      </c>
      <c r="I18" s="3">
        <f>D18/D19</f>
        <v>1</v>
      </c>
      <c r="J18" s="3" t="e">
        <f>E18/E19</f>
        <v>#DIV/0!</v>
      </c>
      <c r="K18" s="3" t="e">
        <f>F18/F19</f>
        <v>#DIV/0!</v>
      </c>
      <c r="L18" s="3" t="e">
        <f>G18/G19</f>
        <v>#DIV/0!</v>
      </c>
      <c r="M18" s="1" t="s">
        <v>93</v>
      </c>
      <c r="N18" s="12">
        <f>D18</f>
        <v>695060</v>
      </c>
      <c r="O18" s="3">
        <f>N18/N36</f>
        <v>0.14728971122901277</v>
      </c>
      <c r="P18" s="447" t="str">
        <f>IF(AND(O18&gt;9%,O18&lt;21%),"Valid input", "Between 10% and 20% of the Total Cost of Ownership (TCO)")</f>
        <v>Valid input</v>
      </c>
    </row>
    <row r="19" spans="1:16">
      <c r="A19" s="449"/>
      <c r="B19" s="450"/>
      <c r="C19" s="5">
        <f>C18</f>
        <v>499300</v>
      </c>
      <c r="D19" s="5">
        <f>D18</f>
        <v>695060</v>
      </c>
      <c r="E19" s="5">
        <f>E18</f>
        <v>0</v>
      </c>
      <c r="F19" s="5">
        <f>F18</f>
        <v>0</v>
      </c>
      <c r="G19" s="5">
        <f>G18</f>
        <v>0</v>
      </c>
      <c r="H19" s="451"/>
      <c r="I19" s="451"/>
      <c r="J19" s="451"/>
      <c r="K19" s="451"/>
      <c r="L19" s="451"/>
      <c r="M19" s="450"/>
      <c r="N19" s="452">
        <f>SUM(N12:N18)</f>
        <v>1989338</v>
      </c>
      <c r="O19" s="453"/>
      <c r="P19" s="10"/>
    </row>
    <row r="20" spans="1:16">
      <c r="A20" s="1074" t="s">
        <v>501</v>
      </c>
      <c r="B20" s="1074"/>
      <c r="C20" s="444" t="s">
        <v>53</v>
      </c>
      <c r="D20" s="444" t="s">
        <v>54</v>
      </c>
      <c r="E20" s="444" t="s">
        <v>55</v>
      </c>
      <c r="F20" s="444" t="s">
        <v>56</v>
      </c>
      <c r="G20" s="444" t="s">
        <v>57</v>
      </c>
      <c r="H20" s="444" t="s">
        <v>53</v>
      </c>
      <c r="I20" s="444" t="s">
        <v>54</v>
      </c>
      <c r="J20" s="444" t="s">
        <v>55</v>
      </c>
      <c r="K20" s="444" t="s">
        <v>56</v>
      </c>
      <c r="L20" s="444" t="s">
        <v>57</v>
      </c>
      <c r="M20" s="445" t="s">
        <v>62</v>
      </c>
      <c r="N20" s="444"/>
      <c r="O20" s="444" t="s">
        <v>60</v>
      </c>
      <c r="P20" s="445" t="s">
        <v>61</v>
      </c>
    </row>
    <row r="21" spans="1:16" ht="57">
      <c r="A21" s="446" t="s">
        <v>19</v>
      </c>
      <c r="B21" s="447" t="s">
        <v>20</v>
      </c>
      <c r="C21" s="2">
        <v>34072</v>
      </c>
      <c r="D21" s="2">
        <v>405000</v>
      </c>
      <c r="E21" s="2">
        <v>60000</v>
      </c>
      <c r="F21" s="2">
        <v>0</v>
      </c>
      <c r="G21" s="2">
        <v>0</v>
      </c>
      <c r="H21" s="3">
        <f>C21/C$35</f>
        <v>1.5258294279259208E-2</v>
      </c>
      <c r="I21" s="3">
        <f>D21/D$35</f>
        <v>0.2308021085624733</v>
      </c>
      <c r="J21" s="3">
        <f>E21/E$35</f>
        <v>4.2079867588683324E-2</v>
      </c>
      <c r="K21" s="3">
        <f>F21/F$35</f>
        <v>0</v>
      </c>
      <c r="L21" s="3">
        <f>G21/G$35</f>
        <v>0</v>
      </c>
      <c r="M21" s="1" t="s">
        <v>74</v>
      </c>
      <c r="N21" s="12">
        <f>N12/5</f>
        <v>37118</v>
      </c>
      <c r="O21" s="3">
        <f>N21/N35</f>
        <v>1.7494783568157212E-2</v>
      </c>
      <c r="P21" s="447" t="str">
        <f>IF(AND(N21&lt;=N12/4,N21&gt;=N12/5),"Valid input", "Budget for replacement every 4 to 5 years")</f>
        <v>Valid input</v>
      </c>
    </row>
    <row r="22" spans="1:16" ht="28.5">
      <c r="A22" s="446" t="s">
        <v>21</v>
      </c>
      <c r="B22" s="447" t="s">
        <v>22</v>
      </c>
      <c r="C22" s="2">
        <v>114400</v>
      </c>
      <c r="D22" s="2">
        <v>300000</v>
      </c>
      <c r="E22" s="2">
        <v>49300</v>
      </c>
      <c r="F22" s="2">
        <v>61184</v>
      </c>
      <c r="G22" s="2">
        <v>0</v>
      </c>
      <c r="H22" s="3">
        <f t="shared" ref="H22:L34" si="1">C22/C$35</f>
        <v>5.1231182952196919E-2</v>
      </c>
      <c r="I22" s="3">
        <f t="shared" si="1"/>
        <v>0.17096452486109132</v>
      </c>
      <c r="J22" s="3">
        <f t="shared" si="1"/>
        <v>3.4575624535368131E-2</v>
      </c>
      <c r="K22" s="3">
        <f t="shared" si="1"/>
        <v>6.7186214878610415E-2</v>
      </c>
      <c r="L22" s="3">
        <f t="shared" si="1"/>
        <v>0</v>
      </c>
      <c r="M22" s="1" t="s">
        <v>67</v>
      </c>
      <c r="N22" s="7"/>
    </row>
    <row r="23" spans="1:16" ht="42.75">
      <c r="A23" s="446" t="s">
        <v>23</v>
      </c>
      <c r="B23" s="447" t="s">
        <v>24</v>
      </c>
      <c r="C23" s="2">
        <v>0</v>
      </c>
      <c r="D23" s="2">
        <v>0</v>
      </c>
      <c r="E23" s="2">
        <v>9450</v>
      </c>
      <c r="F23" s="2">
        <v>0</v>
      </c>
      <c r="G23" s="2">
        <v>0</v>
      </c>
      <c r="H23" s="3">
        <f t="shared" si="1"/>
        <v>0</v>
      </c>
      <c r="I23" s="3">
        <f t="shared" si="1"/>
        <v>0</v>
      </c>
      <c r="J23" s="3">
        <f t="shared" si="1"/>
        <v>6.6275791452176233E-3</v>
      </c>
      <c r="K23" s="3">
        <f t="shared" si="1"/>
        <v>0</v>
      </c>
      <c r="L23" s="3">
        <f t="shared" si="1"/>
        <v>0</v>
      </c>
      <c r="M23" s="1" t="s">
        <v>94</v>
      </c>
      <c r="N23" s="7"/>
    </row>
    <row r="24" spans="1:16" ht="28.5">
      <c r="A24" s="446" t="s">
        <v>25</v>
      </c>
      <c r="B24" s="447" t="s">
        <v>26</v>
      </c>
      <c r="C24" s="2">
        <v>0</v>
      </c>
      <c r="D24" s="2">
        <v>216000</v>
      </c>
      <c r="E24" s="2">
        <v>27000</v>
      </c>
      <c r="F24" s="2">
        <v>0</v>
      </c>
      <c r="G24" s="2">
        <v>105000</v>
      </c>
      <c r="H24" s="3">
        <f t="shared" si="1"/>
        <v>0</v>
      </c>
      <c r="I24" s="3">
        <f t="shared" si="1"/>
        <v>0.12309445789998576</v>
      </c>
      <c r="J24" s="3">
        <f t="shared" si="1"/>
        <v>1.8935940414907496E-2</v>
      </c>
      <c r="K24" s="3">
        <f t="shared" si="1"/>
        <v>0</v>
      </c>
      <c r="L24" s="3">
        <f t="shared" si="1"/>
        <v>3.5256088474650366E-2</v>
      </c>
      <c r="M24" s="1" t="s">
        <v>95</v>
      </c>
      <c r="N24" s="7"/>
    </row>
    <row r="25" spans="1:16" ht="57">
      <c r="A25" s="446" t="s">
        <v>27</v>
      </c>
      <c r="B25" s="447" t="s">
        <v>28</v>
      </c>
      <c r="C25" s="2">
        <v>403308</v>
      </c>
      <c r="D25" s="2">
        <v>287500</v>
      </c>
      <c r="E25" s="2">
        <v>450000</v>
      </c>
      <c r="F25" s="2">
        <v>0</v>
      </c>
      <c r="G25" s="2">
        <v>265778</v>
      </c>
      <c r="H25" s="3">
        <f t="shared" si="1"/>
        <v>0.18061141550773283</v>
      </c>
      <c r="I25" s="3">
        <f t="shared" si="1"/>
        <v>0.16384100299187918</v>
      </c>
      <c r="J25" s="3">
        <f t="shared" si="1"/>
        <v>0.31559900691512488</v>
      </c>
      <c r="K25" s="3">
        <f t="shared" si="1"/>
        <v>0</v>
      </c>
      <c r="L25" s="3">
        <f t="shared" si="1"/>
        <v>8.9240882691577386E-2</v>
      </c>
      <c r="M25" s="1" t="s">
        <v>96</v>
      </c>
      <c r="N25" s="12">
        <f>C25</f>
        <v>403308</v>
      </c>
      <c r="O25" s="3">
        <f>N25/N35</f>
        <v>0.19009068838047172</v>
      </c>
      <c r="P25" s="447" t="str">
        <f>IF(AND(O25&gt;14%,O25&lt;31%), "Valid input","Between 15% and 30% of the Operations Costs")</f>
        <v>Valid input</v>
      </c>
    </row>
    <row r="26" spans="1:16" ht="99.75">
      <c r="A26" s="446" t="s">
        <v>29</v>
      </c>
      <c r="B26" s="447" t="s">
        <v>30</v>
      </c>
      <c r="C26" s="2">
        <v>364170</v>
      </c>
      <c r="D26" s="2">
        <v>85000</v>
      </c>
      <c r="E26" s="2">
        <v>454350</v>
      </c>
      <c r="F26" s="2">
        <v>277352</v>
      </c>
      <c r="G26" s="2">
        <v>271409</v>
      </c>
      <c r="H26" s="3">
        <f t="shared" si="1"/>
        <v>0.16308443964774083</v>
      </c>
      <c r="I26" s="3">
        <f t="shared" si="1"/>
        <v>4.8439948710642541E-2</v>
      </c>
      <c r="J26" s="3">
        <f t="shared" si="1"/>
        <v>0.31864979731530446</v>
      </c>
      <c r="K26" s="3">
        <f t="shared" si="1"/>
        <v>0.3045605234867344</v>
      </c>
      <c r="L26" s="3">
        <f t="shared" si="1"/>
        <v>9.1131616350632202E-2</v>
      </c>
      <c r="M26" s="1" t="s">
        <v>97</v>
      </c>
      <c r="N26" s="12">
        <f>C26</f>
        <v>364170</v>
      </c>
      <c r="O26" s="3">
        <f>N26/N35</f>
        <v>0.17164382057265509</v>
      </c>
      <c r="P26" s="447" t="str">
        <f>IF(AND(O26&gt;4%,O26&lt;31%), "Valid input","Between 5% and 30% of the Operations Costs")</f>
        <v>Valid input</v>
      </c>
    </row>
    <row r="27" spans="1:16" ht="28.5">
      <c r="A27" s="446" t="s">
        <v>31</v>
      </c>
      <c r="B27" s="447" t="s">
        <v>32</v>
      </c>
      <c r="C27" s="2">
        <v>137225</v>
      </c>
      <c r="D27" s="2">
        <v>170000</v>
      </c>
      <c r="E27" s="2">
        <v>300000</v>
      </c>
      <c r="F27" s="2">
        <v>240336</v>
      </c>
      <c r="G27" s="2">
        <v>460857</v>
      </c>
      <c r="H27" s="3">
        <f t="shared" si="1"/>
        <v>6.1452789166216978E-2</v>
      </c>
      <c r="I27" s="3">
        <f t="shared" si="1"/>
        <v>9.6879897421285083E-2</v>
      </c>
      <c r="J27" s="3">
        <f t="shared" si="1"/>
        <v>0.21039933794341661</v>
      </c>
      <c r="K27" s="3">
        <f t="shared" si="1"/>
        <v>0.26391321487751229</v>
      </c>
      <c r="L27" s="3">
        <f t="shared" si="1"/>
        <v>0.15474300158249471</v>
      </c>
      <c r="M27" s="1" t="s">
        <v>75</v>
      </c>
      <c r="N27" s="12">
        <f>C27</f>
        <v>137225</v>
      </c>
      <c r="O27" s="3">
        <f>N27/N35</f>
        <v>6.467809890458466E-2</v>
      </c>
      <c r="P27" s="447" t="str">
        <f>IF(AND(O27&gt;4%,O27&lt;26%), "Valid input","Between 5% and 25% of the Operations Costs")</f>
        <v>Valid input</v>
      </c>
    </row>
    <row r="28" spans="1:16" ht="71.25">
      <c r="A28" s="446" t="s">
        <v>33</v>
      </c>
      <c r="B28" s="447" t="s">
        <v>34</v>
      </c>
      <c r="C28" s="2">
        <v>0</v>
      </c>
      <c r="D28" s="2">
        <v>0</v>
      </c>
      <c r="E28" s="2">
        <v>0</v>
      </c>
      <c r="F28" s="2">
        <v>0</v>
      </c>
      <c r="G28" s="2">
        <v>0</v>
      </c>
      <c r="H28" s="3">
        <f t="shared" si="1"/>
        <v>0</v>
      </c>
      <c r="I28" s="3">
        <f t="shared" si="1"/>
        <v>0</v>
      </c>
      <c r="J28" s="3">
        <f t="shared" si="1"/>
        <v>0</v>
      </c>
      <c r="K28" s="3">
        <f t="shared" si="1"/>
        <v>0</v>
      </c>
      <c r="L28" s="3">
        <f t="shared" si="1"/>
        <v>0</v>
      </c>
      <c r="M28" s="1" t="s">
        <v>76</v>
      </c>
      <c r="N28" s="7"/>
      <c r="P28" s="447" t="s">
        <v>81</v>
      </c>
    </row>
    <row r="29" spans="1:16" ht="28.5">
      <c r="A29" s="446" t="s">
        <v>35</v>
      </c>
      <c r="B29" s="447" t="s">
        <v>36</v>
      </c>
      <c r="C29" s="2">
        <v>0</v>
      </c>
      <c r="D29" s="2">
        <v>0</v>
      </c>
      <c r="E29" s="2">
        <v>0</v>
      </c>
      <c r="F29" s="2">
        <v>0</v>
      </c>
      <c r="G29" s="2">
        <v>0</v>
      </c>
      <c r="H29" s="3">
        <f t="shared" si="1"/>
        <v>0</v>
      </c>
      <c r="I29" s="3">
        <f t="shared" si="1"/>
        <v>0</v>
      </c>
      <c r="J29" s="3">
        <f t="shared" si="1"/>
        <v>0</v>
      </c>
      <c r="K29" s="3">
        <f t="shared" si="1"/>
        <v>0</v>
      </c>
      <c r="L29" s="3">
        <f t="shared" si="1"/>
        <v>0</v>
      </c>
      <c r="M29" s="1" t="s">
        <v>77</v>
      </c>
      <c r="N29" s="7"/>
      <c r="P29" s="447" t="s">
        <v>81</v>
      </c>
    </row>
    <row r="30" spans="1:16" ht="28.5">
      <c r="A30" s="458" t="s">
        <v>0</v>
      </c>
      <c r="B30" s="447" t="s">
        <v>37</v>
      </c>
      <c r="C30" s="2">
        <v>385595</v>
      </c>
      <c r="D30" s="2">
        <v>280000</v>
      </c>
      <c r="E30" s="2">
        <v>50760</v>
      </c>
      <c r="F30" s="2">
        <v>325159</v>
      </c>
      <c r="G30" s="2">
        <v>922125</v>
      </c>
      <c r="H30" s="3">
        <f t="shared" si="1"/>
        <v>0.1726790908256326</v>
      </c>
      <c r="I30" s="3">
        <f t="shared" si="1"/>
        <v>0.15956688987035189</v>
      </c>
      <c r="J30" s="3">
        <f t="shared" si="1"/>
        <v>3.5599567980026087E-2</v>
      </c>
      <c r="K30" s="3">
        <f t="shared" si="1"/>
        <v>0.35705744056802569</v>
      </c>
      <c r="L30" s="3">
        <f t="shared" si="1"/>
        <v>0.30962400556844732</v>
      </c>
      <c r="M30" s="1" t="s">
        <v>80</v>
      </c>
      <c r="N30" s="12">
        <f>C30</f>
        <v>385595</v>
      </c>
      <c r="O30" s="3">
        <f>N30/N35</f>
        <v>0.18174204078785441</v>
      </c>
      <c r="P30" s="447" t="str">
        <f>IF(AND(O30&gt;14%,O30&lt;36%), "Valid input","Between 15% and 35% of the Operations Costs")</f>
        <v>Valid input</v>
      </c>
    </row>
    <row r="31" spans="1:16" ht="42.75">
      <c r="A31" s="446" t="s">
        <v>38</v>
      </c>
      <c r="B31" s="447" t="s">
        <v>39</v>
      </c>
      <c r="C31" s="2">
        <v>0</v>
      </c>
      <c r="D31" s="2">
        <v>0</v>
      </c>
      <c r="E31" s="2">
        <v>0</v>
      </c>
      <c r="F31" s="2">
        <v>6632</v>
      </c>
      <c r="G31" s="2">
        <v>0</v>
      </c>
      <c r="H31" s="3">
        <f t="shared" si="1"/>
        <v>0</v>
      </c>
      <c r="I31" s="3">
        <f t="shared" si="1"/>
        <v>0</v>
      </c>
      <c r="J31" s="3">
        <f t="shared" si="1"/>
        <v>0</v>
      </c>
      <c r="K31" s="3">
        <f t="shared" si="1"/>
        <v>7.2826061891171599E-3</v>
      </c>
      <c r="L31" s="3">
        <f t="shared" si="1"/>
        <v>0</v>
      </c>
      <c r="M31" s="1" t="s">
        <v>82</v>
      </c>
      <c r="N31" s="7"/>
      <c r="P31" s="447" t="s">
        <v>81</v>
      </c>
    </row>
    <row r="32" spans="1:16" ht="28.5">
      <c r="A32" s="458" t="s">
        <v>40</v>
      </c>
      <c r="B32" s="447" t="s">
        <v>41</v>
      </c>
      <c r="C32" s="2">
        <v>395300</v>
      </c>
      <c r="D32" s="2">
        <v>7000</v>
      </c>
      <c r="E32" s="2">
        <v>25000</v>
      </c>
      <c r="F32" s="2">
        <v>0</v>
      </c>
      <c r="G32" s="2">
        <v>659355</v>
      </c>
      <c r="H32" s="3">
        <f t="shared" si="1"/>
        <v>0.17702523270107903</v>
      </c>
      <c r="I32" s="3">
        <f t="shared" si="1"/>
        <v>3.9891722467587975E-3</v>
      </c>
      <c r="J32" s="3">
        <f t="shared" si="1"/>
        <v>1.7533278161951382E-2</v>
      </c>
      <c r="K32" s="3">
        <f t="shared" si="1"/>
        <v>0</v>
      </c>
      <c r="L32" s="3">
        <f t="shared" si="1"/>
        <v>0.22139312586860088</v>
      </c>
      <c r="M32" s="1" t="s">
        <v>78</v>
      </c>
      <c r="N32" s="12">
        <f>C32</f>
        <v>395300</v>
      </c>
      <c r="O32" s="3">
        <f>N32/N35</f>
        <v>0.18631628709770318</v>
      </c>
      <c r="P32" s="447" t="s">
        <v>81</v>
      </c>
    </row>
    <row r="33" spans="1:16" ht="28.5">
      <c r="A33" s="446" t="s">
        <v>42</v>
      </c>
      <c r="B33" s="447" t="s">
        <v>43</v>
      </c>
      <c r="C33" s="2">
        <v>398945</v>
      </c>
      <c r="D33" s="2">
        <v>4250</v>
      </c>
      <c r="E33" s="2">
        <v>0</v>
      </c>
      <c r="F33" s="2">
        <v>0</v>
      </c>
      <c r="G33" s="2">
        <v>293685</v>
      </c>
      <c r="H33" s="3">
        <f>C33/C$35</f>
        <v>0.1786575549201416</v>
      </c>
      <c r="I33" s="3">
        <f t="shared" si="1"/>
        <v>2.4219974355321272E-3</v>
      </c>
      <c r="J33" s="3">
        <f t="shared" si="1"/>
        <v>0</v>
      </c>
      <c r="K33" s="3">
        <f t="shared" si="1"/>
        <v>0</v>
      </c>
      <c r="L33" s="3">
        <f t="shared" si="1"/>
        <v>9.8611279463597087E-2</v>
      </c>
      <c r="M33" s="1" t="s">
        <v>83</v>
      </c>
      <c r="N33" s="12">
        <f>C33</f>
        <v>398945</v>
      </c>
      <c r="O33" s="3">
        <f>N33/N35</f>
        <v>0.18803428068857372</v>
      </c>
      <c r="P33" s="447" t="str">
        <f>IF(O33&lt;20%, "Valid input","Less than 20% of Operations Costs")</f>
        <v>Valid input</v>
      </c>
    </row>
    <row r="34" spans="1:16" ht="42.75">
      <c r="A34" s="446" t="s">
        <v>44</v>
      </c>
      <c r="B34" s="447" t="s">
        <v>45</v>
      </c>
      <c r="C34" s="2">
        <v>0</v>
      </c>
      <c r="D34" s="2">
        <v>0</v>
      </c>
      <c r="E34" s="2">
        <v>0</v>
      </c>
      <c r="F34" s="2">
        <v>0</v>
      </c>
      <c r="G34" s="2">
        <v>0</v>
      </c>
      <c r="H34" s="3">
        <f t="shared" si="1"/>
        <v>0</v>
      </c>
      <c r="I34" s="3">
        <f t="shared" si="1"/>
        <v>0</v>
      </c>
      <c r="J34" s="3">
        <f t="shared" si="1"/>
        <v>0</v>
      </c>
      <c r="K34" s="3">
        <f t="shared" si="1"/>
        <v>0</v>
      </c>
      <c r="L34" s="3">
        <f t="shared" si="1"/>
        <v>0</v>
      </c>
      <c r="M34" s="1" t="s">
        <v>79</v>
      </c>
      <c r="N34" s="7"/>
      <c r="P34" s="447" t="str">
        <f>IF(O34&lt;20%, "Valid input","Less than 20% of Operations Costs")</f>
        <v>Valid input</v>
      </c>
    </row>
    <row r="35" spans="1:16">
      <c r="A35" s="451" t="s">
        <v>46</v>
      </c>
      <c r="B35" s="451"/>
      <c r="C35" s="5">
        <f>SUM(C21:C34)</f>
        <v>2233015</v>
      </c>
      <c r="D35" s="5">
        <f>SUM(D21:D34)</f>
        <v>1754750</v>
      </c>
      <c r="E35" s="5">
        <f>SUM(E21:E34)</f>
        <v>1425860</v>
      </c>
      <c r="F35" s="5">
        <f>SUM(F21:F34)</f>
        <v>910663</v>
      </c>
      <c r="G35" s="5">
        <f>SUM(G21:G34)</f>
        <v>2978209</v>
      </c>
      <c r="H35" s="451"/>
      <c r="I35" s="451"/>
      <c r="J35" s="451"/>
      <c r="K35" s="451"/>
      <c r="L35" s="451"/>
      <c r="M35" s="450"/>
      <c r="N35" s="452">
        <f>SUM(N21:N34)</f>
        <v>2121661</v>
      </c>
      <c r="O35" s="453">
        <f>SUM(O21:O34)</f>
        <v>1</v>
      </c>
      <c r="P35" s="10" t="str">
        <f>IF(O35=100%,"Correct","Adjust data values to equal 100")</f>
        <v>Correct</v>
      </c>
    </row>
    <row r="36" spans="1:16">
      <c r="C36" s="8" t="e">
        <f>C35+C19+#REF!+C9</f>
        <v>#REF!</v>
      </c>
      <c r="D36" s="8" t="e">
        <f>D35+D19+#REF!+D9</f>
        <v>#REF!</v>
      </c>
      <c r="E36" s="8" t="e">
        <f>E35+E19+#REF!+E9</f>
        <v>#REF!</v>
      </c>
      <c r="F36" s="8" t="e">
        <f>F35+F19+#REF!+F9</f>
        <v>#REF!</v>
      </c>
      <c r="G36" s="8" t="e">
        <f>G35+G19+#REF!+G9</f>
        <v>#REF!</v>
      </c>
      <c r="M36" s="443" t="s">
        <v>49</v>
      </c>
      <c r="N36" s="5">
        <f>N35+N19+N9</f>
        <v>4718999</v>
      </c>
    </row>
    <row r="37" spans="1:16">
      <c r="C37" s="459" t="e">
        <f>SUM(C9+#REF!+C19)</f>
        <v>#REF!</v>
      </c>
      <c r="D37" s="459" t="e">
        <f>SUM(D9+#REF!+D19)</f>
        <v>#REF!</v>
      </c>
      <c r="E37" s="459" t="e">
        <f>SUM(E9+#REF!+E19)</f>
        <v>#REF!</v>
      </c>
      <c r="F37" s="459" t="e">
        <f>SUM(F9+#REF!+F19)</f>
        <v>#REF!</v>
      </c>
      <c r="G37" s="459" t="e">
        <f>SUM(G9+#REF!+G19)</f>
        <v>#REF!</v>
      </c>
      <c r="M37" s="443" t="s">
        <v>47</v>
      </c>
      <c r="N37" s="452">
        <f>SUM(N9+N19)</f>
        <v>2597338</v>
      </c>
    </row>
    <row r="38" spans="1:16">
      <c r="C38" s="459">
        <f>C35</f>
        <v>2233015</v>
      </c>
      <c r="D38" s="459">
        <f>D35</f>
        <v>1754750</v>
      </c>
      <c r="E38" s="459">
        <f>E35</f>
        <v>1425860</v>
      </c>
      <c r="F38" s="459">
        <f>F35</f>
        <v>910663</v>
      </c>
      <c r="G38" s="459">
        <f>G35</f>
        <v>2978209</v>
      </c>
      <c r="M38" s="443" t="s">
        <v>48</v>
      </c>
      <c r="N38" s="452">
        <f>N35</f>
        <v>2121661</v>
      </c>
    </row>
    <row r="39" spans="1:16">
      <c r="B39" s="457"/>
      <c r="C39" s="460" t="e">
        <f>C37/C36</f>
        <v>#REF!</v>
      </c>
      <c r="D39" s="460" t="e">
        <f>D37/D36</f>
        <v>#REF!</v>
      </c>
      <c r="E39" s="460" t="e">
        <f>E37/E36</f>
        <v>#REF!</v>
      </c>
      <c r="F39" s="460" t="e">
        <f>F37/F36</f>
        <v>#REF!</v>
      </c>
      <c r="G39" s="460" t="e">
        <f>G37/G36</f>
        <v>#REF!</v>
      </c>
      <c r="H39" s="457"/>
      <c r="I39" s="457"/>
      <c r="J39" s="457"/>
      <c r="K39" s="457"/>
      <c r="L39" s="457"/>
      <c r="M39" s="461"/>
      <c r="N39" s="13" t="s">
        <v>89</v>
      </c>
      <c r="O39" s="454" t="s">
        <v>88</v>
      </c>
      <c r="P39" s="461"/>
    </row>
    <row r="40" spans="1:16">
      <c r="B40" s="457"/>
      <c r="C40" s="460" t="e">
        <f>C38/C36</f>
        <v>#REF!</v>
      </c>
      <c r="D40" s="460" t="e">
        <f>D38/D36</f>
        <v>#REF!</v>
      </c>
      <c r="E40" s="460" t="e">
        <f>E38/E36</f>
        <v>#REF!</v>
      </c>
      <c r="F40" s="460" t="e">
        <f>F38/F36</f>
        <v>#REF!</v>
      </c>
      <c r="G40" s="460" t="e">
        <f>G38/G36</f>
        <v>#REF!</v>
      </c>
      <c r="H40" s="457"/>
      <c r="I40" s="457"/>
      <c r="J40" s="457"/>
      <c r="K40" s="457"/>
      <c r="L40" s="457"/>
      <c r="M40" s="461" t="str">
        <f>A5</f>
        <v>Phase I: Development</v>
      </c>
      <c r="N40" s="14">
        <f>N9</f>
        <v>608000</v>
      </c>
      <c r="O40" s="462">
        <f>C9</f>
        <v>751000</v>
      </c>
      <c r="P40" s="461"/>
    </row>
    <row r="41" spans="1:16">
      <c r="B41" s="457"/>
      <c r="C41" s="457"/>
      <c r="D41" s="457"/>
      <c r="E41" s="457"/>
      <c r="F41" s="457"/>
      <c r="G41" s="457"/>
      <c r="H41" s="457"/>
      <c r="I41" s="457"/>
      <c r="J41" s="457"/>
      <c r="K41" s="457"/>
      <c r="L41" s="457"/>
      <c r="M41" s="461" t="str">
        <f>A10</f>
        <v xml:space="preserve">Phase II: Deployment </v>
      </c>
      <c r="N41" s="462">
        <f>N19</f>
        <v>1989338</v>
      </c>
      <c r="O41" s="462">
        <f>N19</f>
        <v>1989338</v>
      </c>
      <c r="P41" s="461"/>
    </row>
    <row r="42" spans="1:16">
      <c r="B42" s="457"/>
      <c r="C42" s="460"/>
      <c r="D42" s="460"/>
      <c r="E42" s="457"/>
      <c r="F42" s="457"/>
      <c r="G42" s="457"/>
      <c r="H42" s="457"/>
      <c r="I42" s="457"/>
      <c r="J42" s="457"/>
      <c r="K42" s="457"/>
      <c r="L42" s="457"/>
      <c r="M42" s="461" t="str">
        <f>A20</f>
        <v xml:space="preserve">Phase III: Operations </v>
      </c>
      <c r="N42" s="462">
        <f>N35</f>
        <v>2121661</v>
      </c>
      <c r="O42" s="462">
        <f>C35</f>
        <v>2233015</v>
      </c>
      <c r="P42" s="461"/>
    </row>
    <row r="43" spans="1:16">
      <c r="B43" s="457"/>
      <c r="C43" s="457"/>
      <c r="D43" s="457"/>
      <c r="E43" s="457"/>
      <c r="F43" s="457"/>
      <c r="G43" s="457"/>
      <c r="H43" s="457"/>
      <c r="I43" s="457"/>
      <c r="J43" s="457"/>
      <c r="K43" s="457"/>
      <c r="L43" s="457"/>
      <c r="M43" s="461" t="s">
        <v>499</v>
      </c>
      <c r="N43" s="13">
        <f>N40/SUM(N40:N42)</f>
        <v>0.12884088341616518</v>
      </c>
      <c r="O43" s="13">
        <f>O40/SUM(O40:O42)</f>
        <v>0.15100476479349043</v>
      </c>
      <c r="P43" s="461"/>
    </row>
    <row r="44" spans="1:16">
      <c r="B44" s="457"/>
      <c r="C44" s="457"/>
      <c r="D44" s="457"/>
      <c r="E44" s="457"/>
      <c r="F44" s="457"/>
      <c r="G44" s="457"/>
      <c r="H44" s="457"/>
      <c r="I44" s="457"/>
      <c r="J44" s="457"/>
      <c r="K44" s="457"/>
      <c r="L44" s="457"/>
      <c r="M44" s="461" t="s">
        <v>500</v>
      </c>
      <c r="N44" s="13">
        <f>N41/(SUM(N40:N42))</f>
        <v>0.42155931798247892</v>
      </c>
      <c r="O44" s="13">
        <f>O41/(SUM(O40:O42))</f>
        <v>0.39999935657090901</v>
      </c>
      <c r="P44" s="461"/>
    </row>
    <row r="45" spans="1:16">
      <c r="B45" s="457"/>
      <c r="C45" s="457"/>
      <c r="D45" s="457"/>
      <c r="E45" s="457"/>
      <c r="F45" s="457"/>
      <c r="G45" s="457"/>
      <c r="H45" s="457"/>
      <c r="I45" s="457"/>
      <c r="J45" s="457"/>
      <c r="K45" s="457"/>
      <c r="L45" s="457"/>
      <c r="M45" s="461" t="s">
        <v>501</v>
      </c>
      <c r="N45" s="13">
        <f>N42/(SUM(N40:N42))</f>
        <v>0.4495997986013559</v>
      </c>
      <c r="O45" s="13">
        <f>O42/(SUM(O40:O42))</f>
        <v>0.44899587863560059</v>
      </c>
      <c r="P45" s="461"/>
    </row>
    <row r="46" spans="1:16">
      <c r="B46" s="457"/>
      <c r="C46" s="457"/>
      <c r="D46" s="457"/>
      <c r="E46" s="457"/>
      <c r="F46" s="457"/>
      <c r="G46" s="457"/>
      <c r="H46" s="457"/>
      <c r="I46" s="457"/>
      <c r="J46" s="457"/>
      <c r="K46" s="457"/>
      <c r="L46" s="457"/>
      <c r="M46" s="461"/>
      <c r="N46" s="454"/>
      <c r="O46" s="454"/>
      <c r="P46" s="461"/>
    </row>
    <row r="47" spans="1:16">
      <c r="B47" s="457"/>
      <c r="C47" s="457"/>
      <c r="D47" s="457"/>
      <c r="E47" s="457"/>
      <c r="F47" s="457"/>
      <c r="G47" s="457"/>
      <c r="H47" s="457"/>
      <c r="I47" s="457"/>
      <c r="J47" s="457"/>
      <c r="K47" s="457"/>
      <c r="L47" s="457"/>
      <c r="M47" s="461"/>
      <c r="N47" s="13"/>
      <c r="O47" s="13"/>
      <c r="P47" s="461"/>
    </row>
    <row r="48" spans="1:16">
      <c r="B48" s="457"/>
      <c r="C48" s="457"/>
      <c r="D48" s="457"/>
      <c r="E48" s="457"/>
      <c r="F48" s="457"/>
      <c r="G48" s="457"/>
      <c r="H48" s="457"/>
      <c r="I48" s="457"/>
      <c r="J48" s="457"/>
      <c r="K48" s="457"/>
      <c r="L48" s="457"/>
      <c r="M48" s="461"/>
      <c r="N48" s="13">
        <f>N42/SUM(N40:N42)</f>
        <v>0.4495997986013559</v>
      </c>
      <c r="O48" s="13">
        <f>O42/SUM(O40:O42)</f>
        <v>0.44899587863560059</v>
      </c>
      <c r="P48" s="461"/>
    </row>
    <row r="49" spans="2:16">
      <c r="B49" s="457"/>
      <c r="C49" s="457"/>
      <c r="D49" s="457"/>
      <c r="E49" s="457"/>
      <c r="F49" s="457"/>
      <c r="G49" s="457"/>
      <c r="H49" s="457"/>
      <c r="I49" s="457"/>
      <c r="J49" s="457"/>
      <c r="K49" s="457"/>
      <c r="L49" s="457"/>
      <c r="M49" s="461"/>
      <c r="N49" s="454"/>
      <c r="O49" s="454"/>
      <c r="P49" s="461"/>
    </row>
    <row r="50" spans="2:16">
      <c r="B50" s="457"/>
      <c r="C50" s="457"/>
      <c r="D50" s="457"/>
      <c r="E50" s="457"/>
      <c r="F50" s="457"/>
      <c r="G50" s="457"/>
      <c r="H50" s="457"/>
      <c r="I50" s="457"/>
      <c r="J50" s="457"/>
      <c r="K50" s="457"/>
      <c r="L50" s="457"/>
      <c r="M50" s="461"/>
      <c r="N50" s="454"/>
      <c r="O50" s="454"/>
      <c r="P50" s="461"/>
    </row>
    <row r="51" spans="2:16">
      <c r="B51" s="457"/>
      <c r="C51" s="457"/>
      <c r="D51" s="457"/>
      <c r="E51" s="457"/>
      <c r="F51" s="457"/>
      <c r="G51" s="457"/>
      <c r="H51" s="457"/>
      <c r="I51" s="457"/>
      <c r="J51" s="457"/>
      <c r="K51" s="457"/>
      <c r="L51" s="457"/>
      <c r="M51" s="455"/>
      <c r="N51" s="457"/>
      <c r="O51" s="457"/>
      <c r="P51" s="455"/>
    </row>
  </sheetData>
  <mergeCells count="6">
    <mergeCell ref="A20:B20"/>
    <mergeCell ref="C4:G4"/>
    <mergeCell ref="H4:L4"/>
    <mergeCell ref="M4:P4"/>
    <mergeCell ref="A5:B5"/>
    <mergeCell ref="A10:B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BC180-8C22-4909-B6B9-5DD0E4AF7DCD}">
  <sheetPr codeName="Sheet3">
    <tabColor theme="9" tint="-0.249977111117893"/>
  </sheetPr>
  <dimension ref="B1:H23"/>
  <sheetViews>
    <sheetView showGridLines="0" zoomScale="80" zoomScaleNormal="80" workbookViewId="0">
      <pane ySplit="4" topLeftCell="A5" activePane="bottomLeft" state="frozen"/>
      <selection activeCell="C284" sqref="C284"/>
      <selection pane="bottomLeft" activeCell="E32" sqref="E32"/>
    </sheetView>
  </sheetViews>
  <sheetFormatPr defaultColWidth="10.85546875" defaultRowHeight="15" outlineLevelCol="1"/>
  <cols>
    <col min="1" max="1" width="2" style="689" customWidth="1"/>
    <col min="2" max="2" width="68.42578125" style="689" customWidth="1"/>
    <col min="3" max="4" width="20" style="763" customWidth="1"/>
    <col min="5" max="5" width="80" style="689" customWidth="1"/>
    <col min="6" max="6" width="42.5703125" style="689" hidden="1" customWidth="1" outlineLevel="1"/>
    <col min="7" max="7" width="10.85546875" style="689" collapsed="1"/>
    <col min="8" max="16384" width="10.85546875" style="689"/>
  </cols>
  <sheetData>
    <row r="1" spans="2:8">
      <c r="B1" s="739" t="s">
        <v>1621</v>
      </c>
    </row>
    <row r="2" spans="2:8" ht="32.1" customHeight="1">
      <c r="B2" s="1010" t="s">
        <v>992</v>
      </c>
      <c r="C2" s="1011"/>
      <c r="D2" s="1011"/>
      <c r="E2" s="1012"/>
      <c r="F2" s="764"/>
    </row>
    <row r="3" spans="2:8">
      <c r="B3" s="765"/>
      <c r="C3" s="766"/>
      <c r="D3" s="766"/>
      <c r="E3" s="765"/>
      <c r="F3" s="765"/>
    </row>
    <row r="4" spans="2:8" ht="32.1" customHeight="1">
      <c r="B4" s="765"/>
      <c r="C4" s="767" t="s">
        <v>993</v>
      </c>
      <c r="D4" s="768" t="s">
        <v>1629</v>
      </c>
      <c r="E4" s="769" t="s">
        <v>995</v>
      </c>
      <c r="F4" s="770" t="s">
        <v>958</v>
      </c>
    </row>
    <row r="5" spans="2:8" ht="21">
      <c r="B5" s="771" t="s">
        <v>634</v>
      </c>
      <c r="C5" s="772"/>
      <c r="D5" s="772"/>
      <c r="E5" s="771"/>
      <c r="F5" s="771"/>
    </row>
    <row r="7" spans="2:8" ht="48" customHeight="1">
      <c r="B7" s="689" t="s">
        <v>846</v>
      </c>
      <c r="C7" s="794"/>
      <c r="D7" s="774"/>
      <c r="E7" s="775" t="s">
        <v>1462</v>
      </c>
      <c r="F7" s="690" t="s">
        <v>954</v>
      </c>
    </row>
    <row r="8" spans="2:8" ht="32.1" customHeight="1">
      <c r="B8" s="689" t="s">
        <v>996</v>
      </c>
      <c r="C8" s="795"/>
      <c r="D8" s="774"/>
      <c r="E8" s="775" t="s">
        <v>1463</v>
      </c>
      <c r="F8" s="690" t="s">
        <v>955</v>
      </c>
    </row>
    <row r="9" spans="2:8">
      <c r="C9" s="776"/>
      <c r="D9" s="777"/>
      <c r="E9" s="778"/>
      <c r="F9" s="690"/>
    </row>
    <row r="10" spans="2:8" ht="60" hidden="1">
      <c r="B10" s="689" t="s">
        <v>1211</v>
      </c>
      <c r="C10" s="773"/>
      <c r="D10" s="774"/>
      <c r="E10" s="779" t="s">
        <v>1464</v>
      </c>
      <c r="F10" s="690" t="s">
        <v>957</v>
      </c>
    </row>
    <row r="11" spans="2:8" hidden="1">
      <c r="D11" s="780"/>
      <c r="E11" s="747"/>
    </row>
    <row r="12" spans="2:8" ht="45" hidden="1">
      <c r="B12" s="689" t="str">
        <f>IF(C10="hosting through a third-party cloud service (local or international)","","Are server hosting costs shared or covered by other digital health system implementations or programs? (Select Yes or No from dropdown)")</f>
        <v>Are server hosting costs shared or covered by other digital health system implementations or programs? (Select Yes or No from dropdown)</v>
      </c>
      <c r="C12" s="773"/>
      <c r="D12" s="781"/>
      <c r="E12" s="779" t="str">
        <f>IF(C10="hosting through a third-party cloud service (local or international)", " ", "If self-hosting, consider the following costs: 1) Cost of the server, 2) Full-time dev ops engineer at 0.5 FTE/server, 3) Privacy auditing infrastructure, 4) Active security and intrusion detection, 5) High-speed internet, 6) Installation.")</f>
        <v>If self-hosting, consider the following costs: 1) Cost of the server, 2) Full-time dev ops engineer at 0.5 FTE/server, 3) Privacy auditing infrastructure, 4) Active security and intrusion detection, 5) High-speed internet, 6) Installation.</v>
      </c>
      <c r="H12" s="725"/>
    </row>
    <row r="13" spans="2:8" ht="15.75" hidden="1">
      <c r="B13" s="782"/>
      <c r="D13" s="780"/>
      <c r="E13" s="747"/>
    </row>
    <row r="14" spans="2:8" ht="45" hidden="1">
      <c r="B14" s="783" t="s">
        <v>657</v>
      </c>
      <c r="C14" s="784" t="s">
        <v>645</v>
      </c>
      <c r="D14" s="785"/>
      <c r="E14" s="786"/>
    </row>
    <row r="15" spans="2:8" hidden="1">
      <c r="B15" s="783"/>
      <c r="C15" s="780"/>
      <c r="D15" s="780"/>
      <c r="E15" s="747"/>
    </row>
    <row r="16" spans="2:8" ht="30" hidden="1">
      <c r="B16" s="783" t="str">
        <f>IF(C14="central national or subnational government","Is the implementation of the solution planned for scaling by end user (number of facilities, healthcare workers, or clients)? (Enter 'Yes' or 'No')","")</f>
        <v>Is the implementation of the solution planned for scaling by end user (number of facilities, healthcare workers, or clients)? (Enter 'Yes' or 'No')</v>
      </c>
      <c r="C16" s="787" t="s">
        <v>65</v>
      </c>
      <c r="D16" s="788"/>
      <c r="E16" s="789"/>
    </row>
    <row r="17" spans="2:8" ht="30">
      <c r="B17" s="689" t="str">
        <f>IF(C16="no"," ", "Enter the number of new sites where the intervention will be deployed every year")</f>
        <v>Enter the number of new sites where the intervention will be deployed every year</v>
      </c>
    </row>
    <row r="18" spans="2:8" ht="15.95" customHeight="1">
      <c r="B18" s="689" t="str">
        <f>IF(C16="no"," ","Year 1")</f>
        <v>Year 1</v>
      </c>
      <c r="C18" s="796"/>
      <c r="D18" s="790"/>
      <c r="E18" s="1008" t="s">
        <v>1465</v>
      </c>
    </row>
    <row r="19" spans="2:8" ht="15.95" customHeight="1">
      <c r="B19" s="689" t="str">
        <f>IF(C16="no"," ","Year 2")</f>
        <v>Year 2</v>
      </c>
      <c r="C19" s="797"/>
      <c r="D19" s="790"/>
      <c r="E19" s="1009"/>
      <c r="F19" s="791"/>
      <c r="H19" s="725"/>
    </row>
    <row r="20" spans="2:8" ht="15.95" customHeight="1">
      <c r="B20" s="689" t="str">
        <f>IF(C16="no"," ","Year 3")</f>
        <v>Year 3</v>
      </c>
      <c r="C20" s="796"/>
      <c r="D20" s="790"/>
      <c r="E20" s="1009"/>
    </row>
    <row r="21" spans="2:8" ht="15.95" customHeight="1">
      <c r="B21" s="689" t="str">
        <f>IF(C16="no"," ","Year 4")</f>
        <v>Year 4</v>
      </c>
      <c r="C21" s="796"/>
      <c r="D21" s="790" t="s">
        <v>1382</v>
      </c>
      <c r="E21" s="1009"/>
    </row>
    <row r="22" spans="2:8" ht="15.95" customHeight="1">
      <c r="B22" s="689" t="str">
        <f>IF(C16="no"," ","Year 5")</f>
        <v>Year 5</v>
      </c>
      <c r="C22" s="798"/>
      <c r="D22" s="790"/>
      <c r="E22" s="1009"/>
    </row>
    <row r="23" spans="2:8" ht="15.95" customHeight="1">
      <c r="B23" s="689" t="s">
        <v>1417</v>
      </c>
      <c r="C23" s="704">
        <f>SUM(C18:C22)</f>
        <v>0</v>
      </c>
      <c r="D23" s="792" t="s">
        <v>1388</v>
      </c>
      <c r="E23" s="793"/>
    </row>
  </sheetData>
  <sheetProtection algorithmName="SHA-512" hashValue="edqUyIOAAdnsyn5yREj08CwnXwskOtwfJWxxJWXCQB8ySMcWIlZFHF3RnQ3yLZRuSVcEiUzKCwY5sFKOgvyZgg==" saltValue="ydmIC9sv6Nigr309jKvFsQ==" spinCount="100000" sheet="1" formatColumns="0" formatRows="0"/>
  <scenarios current="0" show="0">
    <scenario name="scale" locked="1" count="1" user="Abdul Basith Shaukath" comment="Created by Abdul Basith Shaukath on 3/17/2022">
      <inputCells r="C17" val="2000" numFmtId="164"/>
    </scenario>
  </scenarios>
  <mergeCells count="2">
    <mergeCell ref="E18:E22"/>
    <mergeCell ref="B2:E2"/>
  </mergeCells>
  <conditionalFormatting sqref="C12">
    <cfRule type="expression" dxfId="96" priority="3">
      <formula>$C$10="Hosting through a third-party cloud service (local or international)"</formula>
    </cfRule>
    <cfRule type="expression" dxfId="95" priority="135">
      <formula>$B$12="Are server hosting costs shared or covered by other digital health system implementations or programs? (Enter 'Yes' or 'No')"</formula>
    </cfRule>
  </conditionalFormatting>
  <conditionalFormatting sqref="E12">
    <cfRule type="expression" dxfId="94" priority="100">
      <formula>$C$10=""</formula>
    </cfRule>
  </conditionalFormatting>
  <hyperlinks>
    <hyperlink ref="F8" r:id="rId1" display="Suggested Source: OANDA.com" xr:uid="{2B66E6F6-8B69-4A16-BB80-8149FA23A905}"/>
    <hyperlink ref="F7" r:id="rId2" display="Suggested Source: Digital Square Digital Health Market Maturity" xr:uid="{31610410-9A26-4A3A-8DAE-A323176328B9}"/>
    <hyperlink ref="F10" r:id="rId3" xr:uid="{23F25D51-E7E2-46EE-A1A3-8D0C47462E99}"/>
    <hyperlink ref="B1" location="Menu!D8" tooltip="Menu" display="&lt;&lt; Menu" xr:uid="{EBCEA58C-0D69-9540-BBD2-9EE68ACE55D0}"/>
  </hyperlinks>
  <pageMargins left="0.7" right="0.7" top="0.75" bottom="0.75" header="0.3" footer="0.3"/>
  <pageSetup orientation="portrait" r:id="rId4"/>
  <extLst>
    <ext xmlns:x14="http://schemas.microsoft.com/office/spreadsheetml/2009/9/main" uri="{CCE6A557-97BC-4b89-ADB6-D9C93CAAB3DF}">
      <x14:dataValidations xmlns:xm="http://schemas.microsoft.com/office/excel/2006/main" count="5">
        <x14:dataValidation type="list" allowBlank="1" showInputMessage="1" showErrorMessage="1" xr:uid="{9B62562D-38F5-4A84-99CE-4D96D55C3183}">
          <x14:formula1>
            <xm:f>Sheet13!$D$3:$D$5</xm:f>
          </x14:formula1>
          <xm:sqref>C10</xm:sqref>
        </x14:dataValidation>
        <x14:dataValidation type="list" allowBlank="1" showInputMessage="1" showErrorMessage="1" xr:uid="{7D84C0D5-BEA2-447C-BC36-172B3746E5A7}">
          <x14:formula1>
            <xm:f>Sheet14!$A$1:$A$4</xm:f>
          </x14:formula1>
          <xm:sqref>C14</xm:sqref>
        </x14:dataValidation>
        <x14:dataValidation type="list" allowBlank="1" showInputMessage="1" showErrorMessage="1" xr:uid="{420CA228-974C-49F2-BC71-62B9AB8899E5}">
          <x14:formula1>
            <xm:f>Countries!$A$3:$A$159</xm:f>
          </x14:formula1>
          <xm:sqref>C7</xm:sqref>
        </x14:dataValidation>
        <x14:dataValidation type="list" allowBlank="1" showInputMessage="1" showErrorMessage="1" error="You can only enter Yes or No in this cell." xr:uid="{259367F1-5C77-4CCE-BD90-0F03CD80BC91}">
          <x14:formula1>
            <xm:f>'Value lists'!$A$1:$A$2</xm:f>
          </x14:formula1>
          <xm:sqref>C16</xm:sqref>
        </x14:dataValidation>
        <x14:dataValidation type="list" allowBlank="1" showInputMessage="1" showErrorMessage="1" xr:uid="{0D6FDDA2-AD7C-412B-90BB-0E7EF69AA808}">
          <x14:formula1>
            <xm:f>INDEX(Sheet13!$B$9:$D$10,,MATCH($C$10,Sheet13!$B$8:$D$8,0))</xm:f>
          </x14:formula1>
          <xm:sqref>C12</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8CF05-24D2-4B5F-A285-5A5EF82A4182}">
  <sheetPr codeName="Sheet30">
    <pageSetUpPr fitToPage="1"/>
  </sheetPr>
  <dimension ref="A1:J44"/>
  <sheetViews>
    <sheetView zoomScale="90" zoomScaleNormal="90" workbookViewId="0">
      <pane ySplit="2" topLeftCell="A26" activePane="bottomLeft" state="frozen"/>
      <selection activeCell="K6" sqref="K6:K7"/>
      <selection pane="bottomLeft" activeCell="K6" sqref="K6:K7"/>
    </sheetView>
  </sheetViews>
  <sheetFormatPr defaultColWidth="8.85546875" defaultRowHeight="15"/>
  <cols>
    <col min="1" max="1" width="15.140625" customWidth="1"/>
    <col min="2" max="2" width="29.42578125" style="345" customWidth="1"/>
    <col min="3" max="3" width="52.85546875" style="288" customWidth="1"/>
    <col min="4" max="4" width="18.140625" style="417" customWidth="1"/>
    <col min="5" max="8" width="15.5703125" style="417" customWidth="1"/>
    <col min="9" max="9" width="17.42578125" style="417" bestFit="1" customWidth="1"/>
    <col min="10" max="10" width="14.85546875" style="347" customWidth="1"/>
  </cols>
  <sheetData>
    <row r="1" spans="1:10" ht="33.75">
      <c r="A1" s="344" t="s">
        <v>447</v>
      </c>
      <c r="D1" s="346"/>
      <c r="E1" s="346"/>
      <c r="F1" s="346"/>
      <c r="G1" s="346"/>
      <c r="H1" s="346"/>
      <c r="I1" s="346"/>
    </row>
    <row r="2" spans="1:10" s="347" customFormat="1" ht="35.450000000000003" customHeight="1">
      <c r="A2" s="348" t="s">
        <v>448</v>
      </c>
      <c r="B2" s="349" t="s">
        <v>449</v>
      </c>
      <c r="C2" s="350" t="s">
        <v>51</v>
      </c>
      <c r="D2" s="351" t="s">
        <v>450</v>
      </c>
      <c r="E2" s="349" t="s">
        <v>109</v>
      </c>
      <c r="F2" s="349" t="s">
        <v>110</v>
      </c>
      <c r="G2" s="349" t="s">
        <v>111</v>
      </c>
      <c r="H2" s="349" t="s">
        <v>451</v>
      </c>
      <c r="I2" s="352" t="s">
        <v>452</v>
      </c>
      <c r="J2" s="353" t="s">
        <v>453</v>
      </c>
    </row>
    <row r="3" spans="1:10" s="359" customFormat="1">
      <c r="A3" s="354"/>
      <c r="B3" s="355"/>
      <c r="C3" s="356"/>
      <c r="D3" s="357"/>
      <c r="E3" s="357"/>
      <c r="F3" s="357"/>
      <c r="G3" s="357"/>
      <c r="H3" s="357"/>
      <c r="I3" s="357"/>
      <c r="J3" s="358"/>
    </row>
    <row r="4" spans="1:10">
      <c r="A4" s="360" t="s">
        <v>502</v>
      </c>
      <c r="B4" s="361"/>
      <c r="C4" s="362"/>
      <c r="D4" s="363"/>
      <c r="E4" s="363"/>
      <c r="F4" s="363"/>
      <c r="G4" s="363"/>
      <c r="H4" s="363"/>
      <c r="I4" s="363"/>
      <c r="J4" s="364"/>
    </row>
    <row r="5" spans="1:10" s="288" customFormat="1" ht="151.5" customHeight="1">
      <c r="A5" s="362"/>
      <c r="B5" s="365" t="s">
        <v>0</v>
      </c>
      <c r="C5" s="366" t="s">
        <v>1</v>
      </c>
      <c r="D5" s="367">
        <v>153000</v>
      </c>
      <c r="E5" s="367">
        <v>0</v>
      </c>
      <c r="F5" s="367">
        <v>0</v>
      </c>
      <c r="G5" s="367">
        <v>0</v>
      </c>
      <c r="H5" s="367">
        <v>0</v>
      </c>
      <c r="I5" s="367">
        <f>SUM(D5:H5)</f>
        <v>153000</v>
      </c>
      <c r="J5" s="368"/>
    </row>
    <row r="6" spans="1:10" s="288" customFormat="1" ht="94.5" customHeight="1">
      <c r="A6" s="369"/>
      <c r="B6" s="365" t="s">
        <v>2</v>
      </c>
      <c r="C6" s="366" t="s">
        <v>454</v>
      </c>
      <c r="D6" s="367">
        <v>16000</v>
      </c>
      <c r="E6" s="367">
        <v>0</v>
      </c>
      <c r="F6" s="367">
        <v>0</v>
      </c>
      <c r="G6" s="367">
        <v>0</v>
      </c>
      <c r="H6" s="367">
        <v>0</v>
      </c>
      <c r="I6" s="367">
        <f>SUM(D6:H6)</f>
        <v>16000</v>
      </c>
      <c r="J6" s="368"/>
    </row>
    <row r="7" spans="1:10" s="288" customFormat="1" ht="153.75" customHeight="1">
      <c r="A7" s="369"/>
      <c r="B7" s="365" t="s">
        <v>3</v>
      </c>
      <c r="C7" s="366" t="s">
        <v>4</v>
      </c>
      <c r="D7" s="367">
        <v>582000</v>
      </c>
      <c r="E7" s="367">
        <v>0</v>
      </c>
      <c r="F7" s="367">
        <v>0</v>
      </c>
      <c r="G7" s="367">
        <v>0</v>
      </c>
      <c r="H7" s="367">
        <v>0</v>
      </c>
      <c r="I7" s="367">
        <f>SUM(D7:H7)</f>
        <v>582000</v>
      </c>
      <c r="J7" s="368"/>
    </row>
    <row r="8" spans="1:10" ht="22.5" customHeight="1">
      <c r="A8" s="370"/>
      <c r="B8" s="371"/>
      <c r="C8" s="372" t="s">
        <v>455</v>
      </c>
      <c r="D8" s="373">
        <f>SUM(D5:D7)</f>
        <v>751000</v>
      </c>
      <c r="E8" s="373"/>
      <c r="F8" s="373"/>
      <c r="G8" s="373"/>
      <c r="H8" s="373"/>
      <c r="I8" s="373">
        <f>SUM(D8:H8)</f>
        <v>751000</v>
      </c>
      <c r="J8" s="374"/>
    </row>
    <row r="9" spans="1:10" ht="16.5" customHeight="1">
      <c r="A9" s="360" t="s">
        <v>456</v>
      </c>
      <c r="B9" s="370"/>
      <c r="C9" s="362"/>
      <c r="D9" s="375"/>
      <c r="E9" s="375"/>
      <c r="F9" s="375"/>
      <c r="G9" s="375"/>
      <c r="H9" s="375"/>
      <c r="I9" s="375"/>
      <c r="J9" s="374"/>
    </row>
    <row r="10" spans="1:10" ht="78.95" customHeight="1">
      <c r="A10" s="370"/>
      <c r="B10" s="365" t="s">
        <v>5</v>
      </c>
      <c r="C10" s="366" t="s">
        <v>6</v>
      </c>
      <c r="D10" s="376">
        <v>42590</v>
      </c>
      <c r="E10" s="367">
        <v>0</v>
      </c>
      <c r="F10" s="367">
        <v>0</v>
      </c>
      <c r="G10" s="367">
        <v>0</v>
      </c>
      <c r="H10" s="367">
        <v>0</v>
      </c>
      <c r="I10" s="376">
        <f>SUM(D10:H10)</f>
        <v>42590</v>
      </c>
      <c r="J10" s="374" t="s">
        <v>457</v>
      </c>
    </row>
    <row r="11" spans="1:10" ht="58.5" customHeight="1">
      <c r="A11" s="370"/>
      <c r="B11" s="365" t="s">
        <v>7</v>
      </c>
      <c r="C11" s="366" t="s">
        <v>8</v>
      </c>
      <c r="D11" s="377">
        <v>143000</v>
      </c>
      <c r="E11" s="367">
        <v>0</v>
      </c>
      <c r="F11" s="367">
        <v>0</v>
      </c>
      <c r="G11" s="367">
        <v>0</v>
      </c>
      <c r="H11" s="367">
        <v>0</v>
      </c>
      <c r="I11" s="376">
        <f t="shared" ref="I11:I18" si="0">SUM(D11:H11)</f>
        <v>143000</v>
      </c>
      <c r="J11" s="374" t="s">
        <v>457</v>
      </c>
    </row>
    <row r="12" spans="1:10" ht="45">
      <c r="A12" s="370"/>
      <c r="B12" s="365" t="s">
        <v>9</v>
      </c>
      <c r="C12" s="366" t="s">
        <v>10</v>
      </c>
      <c r="D12" s="378">
        <v>0</v>
      </c>
      <c r="E12" s="367">
        <v>0</v>
      </c>
      <c r="F12" s="367">
        <v>0</v>
      </c>
      <c r="G12" s="367">
        <v>0</v>
      </c>
      <c r="H12" s="367">
        <v>0</v>
      </c>
      <c r="I12" s="376">
        <f t="shared" si="0"/>
        <v>0</v>
      </c>
      <c r="J12" s="374"/>
    </row>
    <row r="13" spans="1:10" ht="90">
      <c r="A13" s="370"/>
      <c r="B13" s="365" t="s">
        <v>11</v>
      </c>
      <c r="C13" s="366" t="s">
        <v>12</v>
      </c>
      <c r="D13" s="377">
        <v>56850</v>
      </c>
      <c r="E13" s="367">
        <v>0</v>
      </c>
      <c r="F13" s="367">
        <v>0</v>
      </c>
      <c r="G13" s="367">
        <v>0</v>
      </c>
      <c r="H13" s="367">
        <v>0</v>
      </c>
      <c r="I13" s="376">
        <f t="shared" si="0"/>
        <v>56850</v>
      </c>
      <c r="J13" s="374"/>
    </row>
    <row r="14" spans="1:10" ht="104.45" customHeight="1">
      <c r="A14" s="370"/>
      <c r="B14" s="365" t="s">
        <v>13</v>
      </c>
      <c r="C14" s="366" t="s">
        <v>14</v>
      </c>
      <c r="D14" s="379">
        <v>981200</v>
      </c>
      <c r="E14" s="367">
        <v>0</v>
      </c>
      <c r="F14" s="367">
        <v>0</v>
      </c>
      <c r="G14" s="367">
        <v>0</v>
      </c>
      <c r="H14" s="367">
        <v>0</v>
      </c>
      <c r="I14" s="376">
        <f t="shared" si="0"/>
        <v>981200</v>
      </c>
      <c r="J14" s="374"/>
    </row>
    <row r="15" spans="1:10" ht="45">
      <c r="A15" s="370"/>
      <c r="B15" s="365" t="s">
        <v>15</v>
      </c>
      <c r="C15" s="366" t="s">
        <v>16</v>
      </c>
      <c r="D15" s="380">
        <v>70638</v>
      </c>
      <c r="E15" s="367">
        <v>0</v>
      </c>
      <c r="F15" s="367">
        <v>0</v>
      </c>
      <c r="G15" s="367">
        <v>0</v>
      </c>
      <c r="H15" s="367">
        <v>0</v>
      </c>
      <c r="I15" s="376">
        <f t="shared" si="0"/>
        <v>70638</v>
      </c>
      <c r="J15" s="374"/>
    </row>
    <row r="16" spans="1:10" ht="20.25" customHeight="1">
      <c r="A16" s="370"/>
      <c r="B16" s="371"/>
      <c r="C16" s="372" t="s">
        <v>458</v>
      </c>
      <c r="D16" s="381">
        <f>SUM(D10:D15)</f>
        <v>1294278</v>
      </c>
      <c r="E16" s="382"/>
      <c r="F16" s="382"/>
      <c r="G16" s="382"/>
      <c r="H16" s="382"/>
      <c r="I16" s="383">
        <f t="shared" si="0"/>
        <v>1294278</v>
      </c>
      <c r="J16" s="374"/>
    </row>
    <row r="17" spans="1:10">
      <c r="A17" s="360" t="s">
        <v>459</v>
      </c>
      <c r="B17" s="361"/>
      <c r="C17" s="362"/>
      <c r="D17" s="384"/>
      <c r="E17" s="384"/>
      <c r="F17" s="384"/>
      <c r="G17" s="384"/>
      <c r="H17" s="384"/>
      <c r="I17" s="384"/>
      <c r="J17" s="374"/>
    </row>
    <row r="18" spans="1:10" ht="58.5" customHeight="1">
      <c r="A18" s="360"/>
      <c r="B18" s="365" t="s">
        <v>17</v>
      </c>
      <c r="C18" s="366" t="s">
        <v>18</v>
      </c>
      <c r="D18" s="377">
        <v>499300</v>
      </c>
      <c r="E18" s="385">
        <v>0</v>
      </c>
      <c r="F18" s="385">
        <v>0</v>
      </c>
      <c r="G18" s="385">
        <v>0</v>
      </c>
      <c r="H18" s="386">
        <v>0</v>
      </c>
      <c r="I18" s="387">
        <f t="shared" si="0"/>
        <v>499300</v>
      </c>
      <c r="J18" s="374"/>
    </row>
    <row r="19" spans="1:10" ht="21.95" customHeight="1" thickBot="1">
      <c r="A19" s="360"/>
      <c r="B19" s="371"/>
      <c r="C19" s="372" t="s">
        <v>460</v>
      </c>
      <c r="D19" s="388">
        <f>SUM(D18)</f>
        <v>499300</v>
      </c>
      <c r="E19" s="389"/>
      <c r="F19" s="389"/>
      <c r="G19" s="389"/>
      <c r="H19" s="389"/>
      <c r="I19" s="390">
        <f>SUM(I18)</f>
        <v>499300</v>
      </c>
      <c r="J19" s="374"/>
    </row>
    <row r="20" spans="1:10" ht="15.75" thickBot="1">
      <c r="A20" s="360"/>
      <c r="B20" s="371"/>
      <c r="C20" s="391" t="s">
        <v>461</v>
      </c>
      <c r="D20" s="392">
        <f>SUM(D19,D16,D8)</f>
        <v>2544578</v>
      </c>
      <c r="E20" s="392"/>
      <c r="F20" s="392"/>
      <c r="G20" s="392"/>
      <c r="H20" s="392"/>
      <c r="I20" s="392">
        <f>SUM(I19,I16,I8)</f>
        <v>2544578</v>
      </c>
      <c r="J20" s="374"/>
    </row>
    <row r="21" spans="1:10">
      <c r="A21" s="360" t="s">
        <v>524</v>
      </c>
      <c r="B21" s="360"/>
      <c r="C21" s="393"/>
      <c r="D21" s="393"/>
      <c r="E21" s="393"/>
      <c r="F21" s="393"/>
      <c r="G21" s="393"/>
      <c r="H21" s="393"/>
      <c r="I21" s="393"/>
      <c r="J21" s="374"/>
    </row>
    <row r="22" spans="1:10" ht="45">
      <c r="A22" s="360"/>
      <c r="B22" s="365" t="s">
        <v>19</v>
      </c>
      <c r="C22" s="366" t="s">
        <v>20</v>
      </c>
      <c r="D22" s="379"/>
      <c r="E22" s="379">
        <v>8518</v>
      </c>
      <c r="F22" s="379">
        <v>8518</v>
      </c>
      <c r="G22" s="379">
        <v>8518</v>
      </c>
      <c r="H22" s="379">
        <v>8518</v>
      </c>
      <c r="I22" s="376">
        <f>SUM(D22:H22)</f>
        <v>34072</v>
      </c>
      <c r="J22" s="374" t="s">
        <v>457</v>
      </c>
    </row>
    <row r="23" spans="1:10" ht="45">
      <c r="A23" s="360"/>
      <c r="B23" s="365" t="s">
        <v>21</v>
      </c>
      <c r="C23" s="366" t="s">
        <v>22</v>
      </c>
      <c r="D23" s="378"/>
      <c r="E23" s="378">
        <v>28600</v>
      </c>
      <c r="F23" s="378">
        <v>28600</v>
      </c>
      <c r="G23" s="378">
        <v>28600</v>
      </c>
      <c r="H23" s="378">
        <v>28600</v>
      </c>
      <c r="I23" s="394">
        <f t="shared" ref="I23:I35" si="1">SUM(D23:H23)</f>
        <v>114400</v>
      </c>
      <c r="J23" s="374" t="s">
        <v>457</v>
      </c>
    </row>
    <row r="24" spans="1:10" ht="60" customHeight="1">
      <c r="A24" s="370"/>
      <c r="B24" s="365" t="s">
        <v>23</v>
      </c>
      <c r="C24" s="366" t="s">
        <v>24</v>
      </c>
      <c r="D24" s="367"/>
      <c r="E24" s="367">
        <v>0</v>
      </c>
      <c r="F24" s="367">
        <v>0</v>
      </c>
      <c r="G24" s="367">
        <v>0</v>
      </c>
      <c r="H24" s="367">
        <v>0</v>
      </c>
      <c r="I24" s="395">
        <f>SUM(D24:H24)</f>
        <v>0</v>
      </c>
      <c r="J24" s="374"/>
    </row>
    <row r="25" spans="1:10">
      <c r="A25" s="370"/>
      <c r="B25" s="365" t="s">
        <v>25</v>
      </c>
      <c r="C25" s="366" t="s">
        <v>26</v>
      </c>
      <c r="D25" s="367"/>
      <c r="E25" s="367">
        <v>0</v>
      </c>
      <c r="F25" s="367">
        <v>0</v>
      </c>
      <c r="G25" s="367">
        <v>0</v>
      </c>
      <c r="H25" s="367">
        <v>0</v>
      </c>
      <c r="I25" s="395">
        <f t="shared" si="1"/>
        <v>0</v>
      </c>
      <c r="J25" s="374" t="s">
        <v>457</v>
      </c>
    </row>
    <row r="26" spans="1:10" ht="126" customHeight="1">
      <c r="A26" s="370"/>
      <c r="B26" s="365" t="s">
        <v>27</v>
      </c>
      <c r="C26" s="366" t="s">
        <v>28</v>
      </c>
      <c r="D26" s="377"/>
      <c r="E26" s="377">
        <v>100827</v>
      </c>
      <c r="F26" s="377">
        <v>100827</v>
      </c>
      <c r="G26" s="377">
        <v>100827</v>
      </c>
      <c r="H26" s="377">
        <v>100827</v>
      </c>
      <c r="I26" s="396">
        <f t="shared" si="1"/>
        <v>403308</v>
      </c>
      <c r="J26" s="374"/>
    </row>
    <row r="27" spans="1:10" ht="60">
      <c r="A27" s="370"/>
      <c r="B27" s="365" t="s">
        <v>29</v>
      </c>
      <c r="C27" s="366" t="s">
        <v>30</v>
      </c>
      <c r="D27" s="378">
        <v>72834</v>
      </c>
      <c r="E27" s="378">
        <v>72834</v>
      </c>
      <c r="F27" s="378">
        <v>72834</v>
      </c>
      <c r="G27" s="378">
        <v>72834</v>
      </c>
      <c r="H27" s="378">
        <v>72834</v>
      </c>
      <c r="I27" s="394">
        <f t="shared" si="1"/>
        <v>364170</v>
      </c>
      <c r="J27" s="374"/>
    </row>
    <row r="28" spans="1:10" ht="47.25" customHeight="1">
      <c r="A28" s="370"/>
      <c r="B28" s="365" t="s">
        <v>31</v>
      </c>
      <c r="C28" s="366" t="s">
        <v>32</v>
      </c>
      <c r="D28" s="397">
        <v>27445</v>
      </c>
      <c r="E28" s="397">
        <v>27445</v>
      </c>
      <c r="F28" s="397">
        <v>27445</v>
      </c>
      <c r="G28" s="397">
        <v>27445</v>
      </c>
      <c r="H28" s="397">
        <v>27445</v>
      </c>
      <c r="I28" s="397">
        <f t="shared" si="1"/>
        <v>137225</v>
      </c>
      <c r="J28" s="374"/>
    </row>
    <row r="29" spans="1:10" ht="120">
      <c r="A29" s="370"/>
      <c r="B29" s="365" t="s">
        <v>33</v>
      </c>
      <c r="C29" s="366" t="s">
        <v>34</v>
      </c>
      <c r="D29" s="398">
        <v>0</v>
      </c>
      <c r="E29" s="398">
        <v>0</v>
      </c>
      <c r="F29" s="398">
        <v>0</v>
      </c>
      <c r="G29" s="398">
        <v>0</v>
      </c>
      <c r="H29" s="398">
        <v>0</v>
      </c>
      <c r="I29" s="399">
        <f t="shared" si="1"/>
        <v>0</v>
      </c>
      <c r="J29" s="374"/>
    </row>
    <row r="30" spans="1:10" ht="30">
      <c r="A30" s="370"/>
      <c r="B30" s="365" t="s">
        <v>35</v>
      </c>
      <c r="C30" s="366" t="s">
        <v>36</v>
      </c>
      <c r="D30" s="400">
        <v>0</v>
      </c>
      <c r="E30" s="400">
        <v>0</v>
      </c>
      <c r="F30" s="400">
        <v>0</v>
      </c>
      <c r="G30" s="400">
        <v>0</v>
      </c>
      <c r="H30" s="400">
        <v>0</v>
      </c>
      <c r="I30" s="401">
        <f t="shared" si="1"/>
        <v>0</v>
      </c>
      <c r="J30" s="374"/>
    </row>
    <row r="31" spans="1:10" ht="30">
      <c r="A31" s="362"/>
      <c r="B31" s="402" t="s">
        <v>0</v>
      </c>
      <c r="C31" s="366" t="s">
        <v>37</v>
      </c>
      <c r="D31" s="367">
        <v>77119</v>
      </c>
      <c r="E31" s="367">
        <v>77119</v>
      </c>
      <c r="F31" s="367">
        <v>77119</v>
      </c>
      <c r="G31" s="367">
        <v>77119</v>
      </c>
      <c r="H31" s="367">
        <v>77119</v>
      </c>
      <c r="I31" s="395">
        <f t="shared" si="1"/>
        <v>385595</v>
      </c>
      <c r="J31" s="374"/>
    </row>
    <row r="32" spans="1:10" ht="48.95" customHeight="1">
      <c r="A32" s="362"/>
      <c r="B32" s="403" t="s">
        <v>38</v>
      </c>
      <c r="C32" s="366" t="s">
        <v>39</v>
      </c>
      <c r="D32" s="367">
        <v>0</v>
      </c>
      <c r="E32" s="367">
        <v>0</v>
      </c>
      <c r="F32" s="367">
        <v>0</v>
      </c>
      <c r="G32" s="367">
        <v>0</v>
      </c>
      <c r="H32" s="367">
        <v>0</v>
      </c>
      <c r="I32" s="395">
        <f t="shared" si="1"/>
        <v>0</v>
      </c>
      <c r="J32" s="374"/>
    </row>
    <row r="33" spans="1:10" ht="60">
      <c r="A33" s="362"/>
      <c r="B33" s="402" t="s">
        <v>40</v>
      </c>
      <c r="C33" s="366" t="s">
        <v>41</v>
      </c>
      <c r="D33" s="367">
        <v>79060</v>
      </c>
      <c r="E33" s="367">
        <v>79060</v>
      </c>
      <c r="F33" s="367">
        <v>79060</v>
      </c>
      <c r="G33" s="367">
        <v>79060</v>
      </c>
      <c r="H33" s="367">
        <v>79060</v>
      </c>
      <c r="I33" s="395">
        <f t="shared" si="1"/>
        <v>395300</v>
      </c>
      <c r="J33" s="374"/>
    </row>
    <row r="34" spans="1:10" ht="60">
      <c r="A34" s="362"/>
      <c r="B34" s="365" t="s">
        <v>42</v>
      </c>
      <c r="C34" s="366" t="s">
        <v>43</v>
      </c>
      <c r="D34" s="367">
        <v>79789</v>
      </c>
      <c r="E34" s="367">
        <v>79789</v>
      </c>
      <c r="F34" s="367">
        <v>79789</v>
      </c>
      <c r="G34" s="367">
        <v>79789</v>
      </c>
      <c r="H34" s="367">
        <v>79789</v>
      </c>
      <c r="I34" s="395">
        <f t="shared" si="1"/>
        <v>398945</v>
      </c>
      <c r="J34" s="374"/>
    </row>
    <row r="35" spans="1:10" ht="60.75" thickBot="1">
      <c r="A35" s="362"/>
      <c r="B35" s="365" t="s">
        <v>44</v>
      </c>
      <c r="C35" s="404" t="s">
        <v>45</v>
      </c>
      <c r="D35" s="385">
        <v>0</v>
      </c>
      <c r="E35" s="385">
        <v>0</v>
      </c>
      <c r="F35" s="385">
        <v>0</v>
      </c>
      <c r="G35" s="385">
        <v>0</v>
      </c>
      <c r="H35" s="385">
        <v>0</v>
      </c>
      <c r="I35" s="405">
        <f t="shared" si="1"/>
        <v>0</v>
      </c>
      <c r="J35" s="374" t="s">
        <v>457</v>
      </c>
    </row>
    <row r="36" spans="1:10" ht="15.75" thickBot="1">
      <c r="A36" s="362"/>
      <c r="B36" s="406"/>
      <c r="C36" s="407" t="s">
        <v>462</v>
      </c>
      <c r="D36" s="392">
        <f t="shared" ref="D36:I36" si="2">SUM(D22:D35)</f>
        <v>336247</v>
      </c>
      <c r="E36" s="392">
        <f t="shared" si="2"/>
        <v>474192</v>
      </c>
      <c r="F36" s="392">
        <f t="shared" si="2"/>
        <v>474192</v>
      </c>
      <c r="G36" s="392">
        <f t="shared" si="2"/>
        <v>474192</v>
      </c>
      <c r="H36" s="392">
        <f t="shared" si="2"/>
        <v>474192</v>
      </c>
      <c r="I36" s="408">
        <f t="shared" si="2"/>
        <v>2233015</v>
      </c>
      <c r="J36" s="368"/>
    </row>
    <row r="37" spans="1:10">
      <c r="A37" s="362"/>
      <c r="B37" s="406"/>
      <c r="C37" s="409" t="s">
        <v>461</v>
      </c>
      <c r="D37" s="388">
        <f>D20</f>
        <v>2544578</v>
      </c>
      <c r="E37" s="388">
        <v>0</v>
      </c>
      <c r="F37" s="388">
        <v>0</v>
      </c>
      <c r="G37" s="388">
        <v>0</v>
      </c>
      <c r="H37" s="388">
        <v>0</v>
      </c>
      <c r="I37" s="388">
        <f>I20</f>
        <v>2544578</v>
      </c>
      <c r="J37" s="368"/>
    </row>
    <row r="38" spans="1:10" ht="15.75">
      <c r="A38" s="362"/>
      <c r="B38" s="362"/>
      <c r="C38" s="410" t="s">
        <v>452</v>
      </c>
      <c r="D38" s="411"/>
      <c r="E38" s="412"/>
      <c r="F38" s="412"/>
      <c r="G38" s="412"/>
      <c r="H38" s="412"/>
      <c r="I38" s="413">
        <f>SUM(I36:I37)</f>
        <v>4777593</v>
      </c>
      <c r="J38" s="414"/>
    </row>
    <row r="39" spans="1:10">
      <c r="B39" s="415"/>
      <c r="D39" s="416"/>
      <c r="E39" s="416"/>
      <c r="F39" s="416"/>
      <c r="G39" s="416"/>
      <c r="H39" s="416"/>
      <c r="I39" s="416"/>
    </row>
    <row r="40" spans="1:10">
      <c r="C40" s="418" t="s">
        <v>448</v>
      </c>
      <c r="D40" s="419" t="s">
        <v>464</v>
      </c>
      <c r="E40" s="419" t="s">
        <v>463</v>
      </c>
    </row>
    <row r="41" spans="1:10">
      <c r="C41" s="420" t="str">
        <f>A4</f>
        <v>I. Development Phase</v>
      </c>
      <c r="D41" s="421">
        <f>I8</f>
        <v>751000</v>
      </c>
      <c r="E41" s="423">
        <f>D41/D44</f>
        <v>0.15719212582570344</v>
      </c>
    </row>
    <row r="42" spans="1:10">
      <c r="C42" s="420" t="str">
        <f>A9</f>
        <v>II. Deployment Phase</v>
      </c>
      <c r="D42" s="421">
        <f>SUM(I16,I19)</f>
        <v>1793578</v>
      </c>
      <c r="E42" s="423">
        <f>D42/D44</f>
        <v>0.37541456545168245</v>
      </c>
    </row>
    <row r="43" spans="1:10">
      <c r="C43" s="420" t="str">
        <f>A21</f>
        <v>III. Operational Phase</v>
      </c>
      <c r="D43" s="421">
        <f>I36</f>
        <v>2233015</v>
      </c>
      <c r="E43" s="423">
        <f>D43/D44</f>
        <v>0.46739330872261409</v>
      </c>
    </row>
    <row r="44" spans="1:10">
      <c r="C44" s="418" t="s">
        <v>221</v>
      </c>
      <c r="D44" s="422">
        <f>I38</f>
        <v>4777593</v>
      </c>
      <c r="E44" s="424">
        <f>SUM(E41:E43)</f>
        <v>1</v>
      </c>
    </row>
  </sheetData>
  <pageMargins left="0.7" right="0.7" top="0.75" bottom="0.75" header="0.3" footer="0.3"/>
  <pageSetup scale="42" fitToHeight="0"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33EC3-0172-4A50-B653-589C84659B43}">
  <sheetPr codeName="Sheet31"/>
  <dimension ref="A1:Q96"/>
  <sheetViews>
    <sheetView topLeftCell="A7" workbookViewId="0">
      <selection activeCell="C86" sqref="C86"/>
    </sheetView>
  </sheetViews>
  <sheetFormatPr defaultColWidth="9.140625" defaultRowHeight="15" outlineLevelCol="1"/>
  <cols>
    <col min="1" max="1" width="1" style="15" customWidth="1"/>
    <col min="2" max="2" width="1.42578125" style="15" customWidth="1"/>
    <col min="3" max="3" width="66.85546875" style="15" customWidth="1"/>
    <col min="4" max="4" width="65.42578125" style="15" hidden="1" customWidth="1" outlineLevel="1"/>
    <col min="5" max="5" width="16.140625" style="15" customWidth="1" collapsed="1"/>
    <col min="6" max="6" width="16" style="15" customWidth="1"/>
    <col min="7" max="7" width="12.5703125" style="15" customWidth="1"/>
    <col min="8" max="8" width="11.140625" style="15" bestFit="1" customWidth="1"/>
    <col min="9" max="9" width="11.42578125" style="15" customWidth="1"/>
    <col min="10" max="10" width="3.42578125" style="15" customWidth="1"/>
    <col min="11" max="11" width="11.140625" style="15" customWidth="1"/>
    <col min="12" max="12" width="15.42578125" style="15" customWidth="1"/>
    <col min="13" max="13" width="16.42578125" style="15" customWidth="1"/>
    <col min="14" max="16384" width="9.140625" style="15"/>
  </cols>
  <sheetData>
    <row r="1" spans="1:17" ht="15.95" hidden="1" customHeight="1">
      <c r="C1" s="16" t="s">
        <v>98</v>
      </c>
      <c r="E1" s="16" t="s">
        <v>99</v>
      </c>
      <c r="F1" s="16"/>
      <c r="G1" s="16"/>
      <c r="H1" s="16"/>
      <c r="I1" s="16"/>
    </row>
    <row r="2" spans="1:17" ht="17.100000000000001" hidden="1" customHeight="1">
      <c r="E2" s="16" t="s">
        <v>100</v>
      </c>
      <c r="F2" s="16"/>
      <c r="G2" s="16"/>
      <c r="H2" s="16"/>
      <c r="I2" s="16"/>
    </row>
    <row r="3" spans="1:17" ht="12" hidden="1" customHeight="1">
      <c r="E3" s="16" t="s">
        <v>101</v>
      </c>
      <c r="F3" s="16"/>
      <c r="G3" s="16"/>
      <c r="H3" s="16"/>
      <c r="I3" s="16"/>
    </row>
    <row r="4" spans="1:17" ht="9" hidden="1" customHeight="1">
      <c r="E4" s="16" t="s">
        <v>102</v>
      </c>
      <c r="F4" s="16"/>
      <c r="G4" s="16"/>
      <c r="H4" s="16"/>
      <c r="I4" s="16"/>
    </row>
    <row r="5" spans="1:17" ht="6.95" hidden="1" customHeight="1">
      <c r="E5" s="16" t="s">
        <v>103</v>
      </c>
      <c r="F5" s="16"/>
      <c r="G5" s="16"/>
      <c r="H5" s="16"/>
      <c r="I5" s="16"/>
    </row>
    <row r="6" spans="1:17" ht="15.75" hidden="1" thickBot="1"/>
    <row r="7" spans="1:17" s="20" customFormat="1">
      <c r="A7" s="17"/>
      <c r="B7" s="18"/>
      <c r="C7" s="18"/>
      <c r="D7" s="18"/>
      <c r="E7" s="18"/>
      <c r="F7" s="19"/>
      <c r="G7" s="19"/>
      <c r="H7" s="18"/>
      <c r="I7" s="18"/>
    </row>
    <row r="8" spans="1:17" s="20" customFormat="1" ht="30" customHeight="1">
      <c r="A8" s="21"/>
      <c r="D8" s="22" t="s">
        <v>104</v>
      </c>
      <c r="F8" s="23"/>
      <c r="G8" s="23"/>
    </row>
    <row r="9" spans="1:17" s="20" customFormat="1" ht="15.75" thickBot="1">
      <c r="A9" s="24"/>
      <c r="B9" s="25"/>
      <c r="C9" s="25"/>
      <c r="D9" s="25"/>
      <c r="E9" s="26"/>
      <c r="F9" s="26"/>
      <c r="G9" s="27"/>
      <c r="H9" s="27"/>
      <c r="I9" s="25"/>
      <c r="J9" s="25"/>
      <c r="K9" s="25"/>
      <c r="L9" s="28" t="s">
        <v>105</v>
      </c>
      <c r="M9" s="29"/>
      <c r="N9" s="29"/>
    </row>
    <row r="10" spans="1:17" ht="16.5" thickBot="1">
      <c r="A10" s="30"/>
      <c r="B10" s="31"/>
      <c r="C10" s="32" t="s">
        <v>106</v>
      </c>
      <c r="D10" s="32" t="s">
        <v>107</v>
      </c>
      <c r="E10" s="33" t="s">
        <v>108</v>
      </c>
      <c r="F10" s="33" t="s">
        <v>109</v>
      </c>
      <c r="G10" s="33" t="s">
        <v>110</v>
      </c>
      <c r="H10" s="33" t="s">
        <v>111</v>
      </c>
      <c r="I10" s="34" t="s">
        <v>112</v>
      </c>
      <c r="J10" s="35"/>
      <c r="K10" s="35"/>
      <c r="L10" s="36"/>
      <c r="M10" s="37" t="s">
        <v>113</v>
      </c>
      <c r="N10" s="38"/>
    </row>
    <row r="11" spans="1:17" s="47" customFormat="1" ht="15" customHeight="1" thickBot="1">
      <c r="A11" s="39"/>
      <c r="B11" s="40"/>
      <c r="C11" s="41" t="s">
        <v>114</v>
      </c>
      <c r="D11" s="41" t="s">
        <v>115</v>
      </c>
      <c r="E11" s="42">
        <v>100</v>
      </c>
      <c r="F11" s="42">
        <v>200</v>
      </c>
      <c r="G11" s="42">
        <v>500</v>
      </c>
      <c r="H11" s="42">
        <v>1000</v>
      </c>
      <c r="I11" s="42">
        <v>2500</v>
      </c>
      <c r="J11" s="43"/>
      <c r="K11" s="43"/>
      <c r="L11" s="44"/>
      <c r="M11" s="45" t="s">
        <v>116</v>
      </c>
      <c r="N11" s="46"/>
    </row>
    <row r="12" spans="1:17" s="47" customFormat="1" ht="15" customHeight="1" thickBot="1">
      <c r="A12" s="39"/>
      <c r="B12" s="40"/>
      <c r="C12" s="41" t="s">
        <v>117</v>
      </c>
      <c r="D12" s="48" t="s">
        <v>118</v>
      </c>
      <c r="E12" s="42">
        <v>2000</v>
      </c>
      <c r="F12" s="42">
        <v>2000</v>
      </c>
      <c r="G12" s="42">
        <v>2000</v>
      </c>
      <c r="H12" s="42">
        <v>2000</v>
      </c>
      <c r="I12" s="42">
        <v>2000</v>
      </c>
      <c r="J12" s="43"/>
      <c r="K12" s="43"/>
      <c r="L12" s="49"/>
      <c r="M12" s="50" t="s">
        <v>119</v>
      </c>
      <c r="N12" s="51"/>
    </row>
    <row r="13" spans="1:17" s="47" customFormat="1" ht="15" customHeight="1" thickBot="1">
      <c r="A13" s="39"/>
      <c r="B13" s="40"/>
      <c r="C13" s="52" t="s">
        <v>120</v>
      </c>
      <c r="D13" s="53" t="s">
        <v>121</v>
      </c>
      <c r="E13" s="54" t="s">
        <v>100</v>
      </c>
      <c r="F13" s="54" t="s">
        <v>101</v>
      </c>
      <c r="G13" s="54" t="s">
        <v>101</v>
      </c>
      <c r="H13" s="54" t="s">
        <v>102</v>
      </c>
      <c r="I13" s="54" t="s">
        <v>103</v>
      </c>
      <c r="J13" s="43"/>
      <c r="K13" s="43"/>
      <c r="L13" s="55"/>
      <c r="M13" s="55"/>
    </row>
    <row r="14" spans="1:17" s="20" customFormat="1" ht="15.75" thickBot="1">
      <c r="A14" s="24"/>
      <c r="E14" s="56"/>
      <c r="F14" s="57"/>
      <c r="G14" s="57"/>
      <c r="H14" s="57"/>
      <c r="I14" s="57"/>
      <c r="J14" s="56"/>
      <c r="K14" s="56"/>
    </row>
    <row r="15" spans="1:17" ht="15.75" customHeight="1" thickBot="1">
      <c r="A15" s="30"/>
      <c r="C15" s="58" t="s">
        <v>122</v>
      </c>
      <c r="D15" s="58" t="s">
        <v>123</v>
      </c>
      <c r="E15" s="59" t="s">
        <v>124</v>
      </c>
      <c r="F15" s="60" t="s">
        <v>125</v>
      </c>
      <c r="G15" s="57"/>
      <c r="H15" s="35"/>
      <c r="I15" s="35"/>
      <c r="J15" s="35"/>
      <c r="K15" s="35"/>
      <c r="L15" s="1076" t="s">
        <v>126</v>
      </c>
      <c r="M15" s="1076"/>
      <c r="N15" s="1076"/>
      <c r="Q15" s="61"/>
    </row>
    <row r="16" spans="1:17" s="47" customFormat="1" ht="15" customHeight="1" thickBot="1">
      <c r="A16" s="39"/>
      <c r="C16" s="62" t="s">
        <v>127</v>
      </c>
      <c r="D16" s="62" t="s">
        <v>128</v>
      </c>
      <c r="E16" s="63">
        <v>1</v>
      </c>
      <c r="F16" s="63">
        <v>500</v>
      </c>
      <c r="G16" s="57"/>
      <c r="H16" s="43"/>
      <c r="I16" s="64"/>
      <c r="J16" s="65"/>
      <c r="K16" s="43"/>
      <c r="L16" s="1076"/>
      <c r="M16" s="1076"/>
      <c r="N16" s="1076"/>
    </row>
    <row r="17" spans="1:14" s="47" customFormat="1" ht="15" customHeight="1" thickBot="1">
      <c r="A17" s="39"/>
      <c r="C17" s="66" t="s">
        <v>129</v>
      </c>
      <c r="D17" s="66" t="s">
        <v>130</v>
      </c>
      <c r="E17" s="63">
        <v>2</v>
      </c>
      <c r="F17" s="63">
        <v>500</v>
      </c>
      <c r="G17" s="57"/>
      <c r="H17" s="57"/>
      <c r="I17" s="57"/>
      <c r="J17" s="65"/>
      <c r="K17" s="43"/>
      <c r="L17" s="1076"/>
      <c r="M17" s="1076"/>
      <c r="N17" s="1076"/>
    </row>
    <row r="18" spans="1:14" s="47" customFormat="1" ht="15" customHeight="1" thickBot="1">
      <c r="A18" s="39"/>
      <c r="C18" s="67" t="s">
        <v>131</v>
      </c>
      <c r="D18" s="66" t="s">
        <v>132</v>
      </c>
      <c r="E18" s="63">
        <v>0</v>
      </c>
      <c r="F18" s="63">
        <v>0</v>
      </c>
      <c r="G18" s="57"/>
      <c r="H18" s="57"/>
      <c r="I18" s="57"/>
      <c r="J18" s="43"/>
      <c r="K18" s="68"/>
      <c r="L18" s="1076"/>
      <c r="M18" s="1076"/>
      <c r="N18" s="1076"/>
    </row>
    <row r="19" spans="1:14" ht="15.75" thickBot="1">
      <c r="A19" s="30"/>
      <c r="C19" s="69"/>
      <c r="D19" s="69"/>
      <c r="E19" s="35"/>
      <c r="F19" s="35"/>
      <c r="G19" s="35"/>
      <c r="H19" s="70"/>
      <c r="I19" s="35"/>
      <c r="J19" s="35"/>
      <c r="K19" s="35"/>
      <c r="L19" s="47"/>
      <c r="M19" s="47"/>
      <c r="N19" s="47"/>
    </row>
    <row r="20" spans="1:14" ht="16.5" thickBot="1">
      <c r="A20" s="30"/>
      <c r="C20" s="32" t="s">
        <v>133</v>
      </c>
      <c r="D20" s="69"/>
      <c r="E20" s="71">
        <v>0.09</v>
      </c>
      <c r="F20" s="35"/>
      <c r="G20" s="35"/>
      <c r="H20" s="35"/>
      <c r="I20" s="35"/>
      <c r="J20" s="35"/>
      <c r="K20" s="35"/>
      <c r="L20" s="47"/>
      <c r="M20" s="47"/>
      <c r="N20" s="47"/>
    </row>
    <row r="21" spans="1:14" ht="15.75" thickBot="1">
      <c r="A21" s="30"/>
      <c r="E21" s="35"/>
      <c r="F21" s="35"/>
      <c r="G21" s="35"/>
      <c r="H21" s="35"/>
      <c r="I21" s="70"/>
      <c r="J21" s="35"/>
      <c r="K21" s="35"/>
      <c r="L21" s="47"/>
      <c r="M21" s="47"/>
      <c r="N21" s="47"/>
    </row>
    <row r="22" spans="1:14" ht="31.5">
      <c r="A22" s="72"/>
      <c r="C22" s="73" t="s">
        <v>134</v>
      </c>
      <c r="D22" s="73" t="s">
        <v>135</v>
      </c>
      <c r="E22" s="74" t="s">
        <v>136</v>
      </c>
      <c r="F22" s="75" t="s">
        <v>137</v>
      </c>
      <c r="G22" s="76" t="s">
        <v>138</v>
      </c>
      <c r="H22" s="35"/>
      <c r="I22" s="35"/>
      <c r="J22" s="35"/>
      <c r="K22" s="77"/>
      <c r="L22" s="78"/>
      <c r="M22" s="79"/>
      <c r="N22" s="79"/>
    </row>
    <row r="23" spans="1:14" ht="15.75" thickBot="1">
      <c r="A23" s="72"/>
      <c r="C23" s="80" t="s">
        <v>139</v>
      </c>
      <c r="D23" s="80" t="s">
        <v>140</v>
      </c>
      <c r="E23" s="81"/>
      <c r="F23" s="81"/>
      <c r="G23" s="82"/>
      <c r="H23" s="83"/>
      <c r="I23" s="35"/>
      <c r="J23" s="35"/>
      <c r="K23" s="84"/>
      <c r="L23" s="85"/>
      <c r="M23" s="85"/>
      <c r="N23" s="85"/>
    </row>
    <row r="24" spans="1:14" ht="15.75" thickBot="1">
      <c r="A24" s="72"/>
      <c r="C24" s="86" t="s">
        <v>141</v>
      </c>
      <c r="D24" s="86" t="s">
        <v>142</v>
      </c>
      <c r="E24" s="87" t="s">
        <v>143</v>
      </c>
      <c r="F24" s="88">
        <v>0.1</v>
      </c>
      <c r="G24" s="89"/>
      <c r="H24" s="90"/>
      <c r="I24" s="35"/>
      <c r="J24" s="35"/>
      <c r="K24" s="91"/>
      <c r="L24" s="85"/>
      <c r="M24" s="85"/>
      <c r="N24" s="85"/>
    </row>
    <row r="25" spans="1:14" ht="15.75" thickBot="1">
      <c r="A25" s="72"/>
      <c r="C25" s="92" t="s">
        <v>144</v>
      </c>
      <c r="D25" s="92" t="s">
        <v>145</v>
      </c>
      <c r="E25" s="93"/>
      <c r="F25" s="94"/>
      <c r="G25" s="95"/>
      <c r="H25" s="96"/>
      <c r="I25" s="35"/>
      <c r="J25" s="35"/>
      <c r="K25" s="91"/>
      <c r="L25" s="85"/>
      <c r="M25" s="85"/>
      <c r="N25" s="85"/>
    </row>
    <row r="26" spans="1:14" ht="15.75" thickBot="1">
      <c r="A26" s="72"/>
      <c r="C26" s="97" t="s">
        <v>146</v>
      </c>
      <c r="D26" s="97" t="s">
        <v>147</v>
      </c>
      <c r="E26" s="98" t="s">
        <v>148</v>
      </c>
      <c r="F26" s="99">
        <v>2</v>
      </c>
      <c r="G26" s="100">
        <v>8</v>
      </c>
      <c r="H26" s="101"/>
      <c r="I26" s="35"/>
      <c r="J26" s="35"/>
      <c r="K26" s="91"/>
      <c r="L26" s="85"/>
      <c r="M26" s="85"/>
      <c r="N26" s="85"/>
    </row>
    <row r="27" spans="1:14" ht="15.75" thickBot="1">
      <c r="A27" s="72"/>
      <c r="C27" s="97" t="s">
        <v>149</v>
      </c>
      <c r="D27" s="97" t="s">
        <v>150</v>
      </c>
      <c r="E27" s="98" t="s">
        <v>148</v>
      </c>
      <c r="F27" s="99">
        <v>1</v>
      </c>
      <c r="G27" s="100">
        <v>8</v>
      </c>
      <c r="H27" s="101"/>
      <c r="I27" s="35"/>
      <c r="J27" s="35"/>
      <c r="K27" s="77"/>
      <c r="L27" s="85"/>
      <c r="M27" s="85"/>
      <c r="N27" s="85"/>
    </row>
    <row r="28" spans="1:14" ht="15.75" thickBot="1">
      <c r="A28" s="72"/>
      <c r="C28" s="92" t="s">
        <v>151</v>
      </c>
      <c r="D28" s="92" t="s">
        <v>152</v>
      </c>
      <c r="E28" s="93"/>
      <c r="F28" s="94"/>
      <c r="G28" s="95"/>
      <c r="H28" s="90"/>
      <c r="I28" s="35"/>
      <c r="J28" s="35"/>
      <c r="K28" s="77"/>
      <c r="L28" s="85"/>
      <c r="M28" s="85"/>
      <c r="N28" s="85"/>
    </row>
    <row r="29" spans="1:14" ht="15.75" thickBot="1">
      <c r="A29" s="72"/>
      <c r="C29" s="97" t="s">
        <v>146</v>
      </c>
      <c r="D29" s="97" t="s">
        <v>147</v>
      </c>
      <c r="E29" s="98" t="s">
        <v>148</v>
      </c>
      <c r="F29" s="99">
        <v>4</v>
      </c>
      <c r="G29" s="100">
        <v>15</v>
      </c>
      <c r="H29" s="102"/>
      <c r="I29" s="35"/>
      <c r="J29" s="35"/>
      <c r="K29" s="77"/>
      <c r="L29" s="85"/>
      <c r="M29" s="85"/>
      <c r="N29" s="85"/>
    </row>
    <row r="30" spans="1:14" ht="15.75" thickBot="1">
      <c r="A30" s="72"/>
      <c r="C30" s="97" t="s">
        <v>149</v>
      </c>
      <c r="D30" s="97" t="s">
        <v>150</v>
      </c>
      <c r="E30" s="98" t="s">
        <v>148</v>
      </c>
      <c r="F30" s="99">
        <v>1</v>
      </c>
      <c r="G30" s="100">
        <v>15</v>
      </c>
      <c r="H30" s="90"/>
      <c r="I30" s="35"/>
      <c r="J30" s="35"/>
      <c r="K30" s="77"/>
      <c r="L30" s="85"/>
      <c r="M30" s="85"/>
      <c r="N30" s="85"/>
    </row>
    <row r="31" spans="1:14" ht="15.75" thickBot="1">
      <c r="A31" s="72"/>
      <c r="C31" s="92" t="s">
        <v>153</v>
      </c>
      <c r="D31" s="92" t="s">
        <v>154</v>
      </c>
      <c r="E31" s="93"/>
      <c r="F31" s="94"/>
      <c r="G31" s="95"/>
      <c r="H31" s="90"/>
      <c r="I31" s="35"/>
      <c r="J31" s="35"/>
      <c r="K31" s="35"/>
      <c r="L31" s="47"/>
      <c r="M31" s="47"/>
      <c r="N31" s="47"/>
    </row>
    <row r="32" spans="1:14" ht="15.75" thickBot="1">
      <c r="A32" s="72"/>
      <c r="C32" s="97" t="s">
        <v>146</v>
      </c>
      <c r="D32" s="97" t="s">
        <v>147</v>
      </c>
      <c r="E32" s="98" t="s">
        <v>148</v>
      </c>
      <c r="F32" s="99">
        <v>4</v>
      </c>
      <c r="G32" s="100">
        <v>12</v>
      </c>
      <c r="H32" s="102"/>
      <c r="I32" s="35"/>
      <c r="J32" s="35"/>
      <c r="K32" s="35"/>
      <c r="L32" s="47"/>
      <c r="M32" s="47"/>
      <c r="N32" s="47"/>
    </row>
    <row r="33" spans="1:14" ht="15.75" thickBot="1">
      <c r="A33" s="72"/>
      <c r="C33" s="103" t="s">
        <v>149</v>
      </c>
      <c r="D33" s="104" t="s">
        <v>150</v>
      </c>
      <c r="E33" s="105" t="s">
        <v>148</v>
      </c>
      <c r="F33" s="99">
        <v>1</v>
      </c>
      <c r="G33" s="100">
        <v>12</v>
      </c>
      <c r="H33" s="90"/>
      <c r="I33" s="35"/>
      <c r="J33" s="35"/>
      <c r="K33" s="35"/>
      <c r="L33" s="47"/>
      <c r="M33" s="47"/>
      <c r="N33" s="47"/>
    </row>
    <row r="34" spans="1:14" ht="15.75" thickBot="1">
      <c r="A34" s="72"/>
      <c r="C34" s="106" t="s">
        <v>216</v>
      </c>
      <c r="D34" s="92" t="s">
        <v>217</v>
      </c>
      <c r="E34" s="93"/>
      <c r="F34" s="94"/>
      <c r="G34" s="95"/>
      <c r="H34" s="90"/>
      <c r="I34" s="35"/>
      <c r="J34" s="35"/>
      <c r="K34" s="35"/>
      <c r="L34" s="47"/>
      <c r="M34" s="47"/>
      <c r="N34" s="47"/>
    </row>
    <row r="35" spans="1:14" ht="15.75" thickBot="1">
      <c r="A35" s="72"/>
      <c r="C35" s="107" t="s">
        <v>146</v>
      </c>
      <c r="D35" s="97" t="s">
        <v>147</v>
      </c>
      <c r="E35" s="98" t="s">
        <v>148</v>
      </c>
      <c r="F35" s="99">
        <v>0</v>
      </c>
      <c r="G35" s="100">
        <v>0</v>
      </c>
      <c r="H35" s="102"/>
      <c r="I35" s="35"/>
      <c r="J35" s="35"/>
      <c r="K35" s="35"/>
      <c r="L35" s="47"/>
      <c r="M35" s="47"/>
      <c r="N35" s="47"/>
    </row>
    <row r="36" spans="1:14" ht="15.75" thickBot="1">
      <c r="A36" s="72"/>
      <c r="C36" s="108" t="s">
        <v>149</v>
      </c>
      <c r="D36" s="109" t="s">
        <v>150</v>
      </c>
      <c r="E36" s="110" t="s">
        <v>148</v>
      </c>
      <c r="F36" s="99">
        <v>0</v>
      </c>
      <c r="G36" s="100">
        <v>0</v>
      </c>
      <c r="H36" s="90"/>
      <c r="I36" s="35"/>
      <c r="J36" s="35"/>
      <c r="K36" s="35"/>
      <c r="L36" s="47"/>
      <c r="M36" s="47"/>
      <c r="N36" s="47"/>
    </row>
    <row r="37" spans="1:14" ht="15.75" thickBot="1">
      <c r="A37" s="72"/>
      <c r="C37" s="111"/>
      <c r="D37" s="111"/>
      <c r="E37" s="112"/>
      <c r="F37" s="113"/>
      <c r="G37" s="114"/>
      <c r="H37" s="90"/>
      <c r="I37" s="35"/>
      <c r="J37" s="35"/>
      <c r="K37" s="35"/>
      <c r="L37" s="47"/>
      <c r="M37" s="47"/>
      <c r="N37" s="47"/>
    </row>
    <row r="38" spans="1:14">
      <c r="A38" s="72"/>
      <c r="C38" s="115" t="s">
        <v>155</v>
      </c>
      <c r="D38" s="115" t="s">
        <v>156</v>
      </c>
      <c r="E38" s="116"/>
      <c r="F38" s="116"/>
      <c r="G38" s="117"/>
      <c r="H38" s="90"/>
      <c r="I38" s="35"/>
      <c r="J38" s="35"/>
      <c r="K38" s="35"/>
      <c r="L38" s="47"/>
      <c r="M38" s="47"/>
      <c r="N38" s="47"/>
    </row>
    <row r="39" spans="1:14" s="47" customFormat="1" ht="15" customHeight="1" thickBot="1">
      <c r="A39" s="39"/>
      <c r="C39" s="92" t="s">
        <v>144</v>
      </c>
      <c r="D39" s="92" t="s">
        <v>145</v>
      </c>
      <c r="E39" s="93"/>
      <c r="F39" s="94"/>
      <c r="G39" s="95"/>
      <c r="H39" s="57"/>
      <c r="I39" s="57"/>
      <c r="J39" s="43"/>
      <c r="K39" s="43"/>
    </row>
    <row r="40" spans="1:14" ht="15.75" thickBot="1">
      <c r="A40" s="72"/>
      <c r="C40" s="118" t="s">
        <v>157</v>
      </c>
      <c r="D40" s="118" t="s">
        <v>158</v>
      </c>
      <c r="E40" s="93" t="s">
        <v>159</v>
      </c>
      <c r="F40" s="99">
        <v>1</v>
      </c>
      <c r="G40" s="100">
        <v>1</v>
      </c>
      <c r="H40" s="90"/>
      <c r="I40" s="35"/>
      <c r="J40" s="35"/>
      <c r="K40" s="68"/>
      <c r="L40" s="47"/>
      <c r="M40" s="47"/>
      <c r="N40" s="47"/>
    </row>
    <row r="41" spans="1:14" ht="15.75" thickBot="1">
      <c r="A41" s="72"/>
      <c r="C41" s="118" t="s">
        <v>160</v>
      </c>
      <c r="D41" s="118" t="s">
        <v>161</v>
      </c>
      <c r="E41" s="93" t="s">
        <v>159</v>
      </c>
      <c r="F41" s="99">
        <v>1</v>
      </c>
      <c r="G41" s="100"/>
      <c r="H41" s="119"/>
      <c r="I41" s="35"/>
      <c r="J41" s="35"/>
      <c r="K41" s="70"/>
      <c r="L41" s="47"/>
      <c r="M41" s="47"/>
      <c r="N41" s="47"/>
    </row>
    <row r="42" spans="1:14" ht="15.75" thickBot="1">
      <c r="A42" s="72"/>
      <c r="C42" s="120" t="s">
        <v>162</v>
      </c>
      <c r="D42" s="121" t="s">
        <v>163</v>
      </c>
      <c r="E42" s="122" t="s">
        <v>159</v>
      </c>
      <c r="F42" s="99">
        <v>1</v>
      </c>
      <c r="G42" s="100">
        <v>0</v>
      </c>
      <c r="H42" s="119"/>
      <c r="I42" s="35"/>
      <c r="J42" s="35"/>
      <c r="K42" s="35"/>
      <c r="L42" s="47"/>
      <c r="M42" s="47"/>
      <c r="N42" s="47"/>
    </row>
    <row r="43" spans="1:14" ht="15.75" thickBot="1">
      <c r="A43" s="72"/>
      <c r="C43" s="123"/>
      <c r="D43" s="123"/>
      <c r="E43" s="124"/>
      <c r="F43" s="125" t="s">
        <v>164</v>
      </c>
      <c r="G43" s="126">
        <v>1</v>
      </c>
      <c r="H43" s="119"/>
      <c r="I43" s="35"/>
      <c r="J43" s="35"/>
      <c r="K43" s="35"/>
      <c r="L43" s="47"/>
      <c r="M43" s="47"/>
      <c r="N43" s="47"/>
    </row>
    <row r="44" spans="1:14" ht="15.75" thickBot="1">
      <c r="A44" s="72"/>
      <c r="C44" s="127" t="s">
        <v>165</v>
      </c>
      <c r="D44" s="127" t="s">
        <v>152</v>
      </c>
      <c r="E44" s="128"/>
      <c r="F44" s="129"/>
      <c r="G44" s="130"/>
      <c r="H44" s="119"/>
      <c r="I44" s="35"/>
      <c r="J44" s="35"/>
      <c r="K44" s="35"/>
      <c r="L44" s="47"/>
      <c r="M44" s="47"/>
      <c r="N44" s="47"/>
    </row>
    <row r="45" spans="1:14" ht="15.75" thickBot="1">
      <c r="A45" s="72"/>
      <c r="C45" s="118" t="s">
        <v>157</v>
      </c>
      <c r="D45" s="118" t="s">
        <v>158</v>
      </c>
      <c r="E45" s="93" t="s">
        <v>159</v>
      </c>
      <c r="F45" s="99">
        <v>1</v>
      </c>
      <c r="G45" s="100">
        <v>1</v>
      </c>
      <c r="H45" s="119"/>
      <c r="I45" s="35"/>
      <c r="J45" s="35"/>
      <c r="K45" s="35"/>
      <c r="L45" s="47"/>
      <c r="M45" s="47"/>
      <c r="N45" s="47"/>
    </row>
    <row r="46" spans="1:14" ht="15.75" thickBot="1">
      <c r="A46" s="72"/>
      <c r="C46" s="118" t="s">
        <v>166</v>
      </c>
      <c r="D46" s="118" t="s">
        <v>161</v>
      </c>
      <c r="E46" s="93" t="s">
        <v>159</v>
      </c>
      <c r="F46" s="99">
        <v>1</v>
      </c>
      <c r="G46" s="100">
        <v>550</v>
      </c>
      <c r="H46" s="101"/>
      <c r="I46" s="131"/>
      <c r="J46" s="35"/>
      <c r="K46" s="35"/>
      <c r="L46" s="47"/>
      <c r="M46" s="47"/>
      <c r="N46" s="47"/>
    </row>
    <row r="47" spans="1:14" ht="15.75" thickBot="1">
      <c r="A47" s="72"/>
      <c r="C47" s="132" t="s">
        <v>167</v>
      </c>
      <c r="D47" s="118" t="s">
        <v>168</v>
      </c>
      <c r="E47" s="93" t="s">
        <v>159</v>
      </c>
      <c r="F47" s="99">
        <v>1</v>
      </c>
      <c r="G47" s="100">
        <v>11</v>
      </c>
      <c r="H47" s="101"/>
      <c r="I47" s="35"/>
      <c r="J47" s="35"/>
      <c r="K47" s="35"/>
      <c r="L47" s="47"/>
      <c r="M47" s="47"/>
      <c r="N47" s="47"/>
    </row>
    <row r="48" spans="1:14" ht="15.75" thickBot="1">
      <c r="A48" s="72"/>
      <c r="C48" s="120" t="s">
        <v>162</v>
      </c>
      <c r="D48" s="121" t="s">
        <v>163</v>
      </c>
      <c r="E48" s="122" t="s">
        <v>159</v>
      </c>
      <c r="F48" s="99">
        <v>1</v>
      </c>
      <c r="G48" s="100">
        <v>0</v>
      </c>
      <c r="H48" s="101"/>
      <c r="I48" s="35"/>
      <c r="J48" s="35"/>
      <c r="K48" s="35"/>
      <c r="L48" s="47"/>
      <c r="M48" s="47"/>
      <c r="N48" s="47"/>
    </row>
    <row r="49" spans="1:14" ht="15.75" thickBot="1">
      <c r="A49" s="72"/>
      <c r="C49" s="123"/>
      <c r="D49" s="123"/>
      <c r="E49" s="124"/>
      <c r="F49" s="125" t="s">
        <v>164</v>
      </c>
      <c r="G49" s="126">
        <v>562</v>
      </c>
      <c r="H49" s="119"/>
      <c r="I49" s="35"/>
      <c r="J49" s="35"/>
      <c r="K49" s="35"/>
      <c r="L49" s="47"/>
      <c r="M49" s="47"/>
      <c r="N49" s="47"/>
    </row>
    <row r="50" spans="1:14" ht="15.75" thickBot="1">
      <c r="A50" s="72"/>
      <c r="C50" s="127" t="s">
        <v>169</v>
      </c>
      <c r="D50" s="127" t="s">
        <v>154</v>
      </c>
      <c r="E50" s="128"/>
      <c r="F50" s="129"/>
      <c r="G50" s="130"/>
      <c r="H50" s="119"/>
      <c r="I50" s="35"/>
      <c r="J50" s="35"/>
      <c r="K50" s="35"/>
      <c r="L50" s="47"/>
      <c r="M50" s="47"/>
      <c r="N50" s="47"/>
    </row>
    <row r="51" spans="1:14" ht="15.75" thickBot="1">
      <c r="A51" s="72"/>
      <c r="C51" s="118" t="s">
        <v>157</v>
      </c>
      <c r="D51" s="118" t="s">
        <v>158</v>
      </c>
      <c r="E51" s="93" t="s">
        <v>159</v>
      </c>
      <c r="F51" s="99">
        <v>1</v>
      </c>
      <c r="G51" s="100">
        <v>1</v>
      </c>
      <c r="H51" s="90"/>
      <c r="I51" s="35"/>
      <c r="J51" s="35"/>
      <c r="K51" s="35"/>
      <c r="L51" s="47"/>
      <c r="M51" s="47"/>
      <c r="N51" s="47"/>
    </row>
    <row r="52" spans="1:14" ht="15.75" thickBot="1">
      <c r="A52" s="72"/>
      <c r="C52" s="118" t="s">
        <v>166</v>
      </c>
      <c r="D52" s="118" t="s">
        <v>161</v>
      </c>
      <c r="E52" s="93" t="s">
        <v>159</v>
      </c>
      <c r="F52" s="99">
        <v>1</v>
      </c>
      <c r="G52" s="133">
        <v>200</v>
      </c>
      <c r="H52" s="101"/>
      <c r="I52" s="70"/>
      <c r="J52" s="35"/>
      <c r="K52" s="35"/>
      <c r="L52" s="47"/>
      <c r="M52" s="134"/>
      <c r="N52" s="47"/>
    </row>
    <row r="53" spans="1:14" ht="15.75" thickBot="1">
      <c r="A53" s="72"/>
      <c r="C53" s="132" t="s">
        <v>167</v>
      </c>
      <c r="D53" s="118" t="s">
        <v>168</v>
      </c>
      <c r="E53" s="93" t="s">
        <v>159</v>
      </c>
      <c r="F53" s="99">
        <v>1</v>
      </c>
      <c r="G53" s="100">
        <v>22</v>
      </c>
      <c r="H53" s="101"/>
      <c r="I53" s="35"/>
      <c r="J53" s="35"/>
      <c r="K53" s="35"/>
      <c r="L53" s="47"/>
      <c r="M53" s="47"/>
      <c r="N53" s="47"/>
    </row>
    <row r="54" spans="1:14" ht="15.75" thickBot="1">
      <c r="A54" s="72"/>
      <c r="C54" s="120" t="s">
        <v>162</v>
      </c>
      <c r="D54" s="121" t="s">
        <v>163</v>
      </c>
      <c r="E54" s="122" t="s">
        <v>159</v>
      </c>
      <c r="F54" s="99">
        <v>1</v>
      </c>
      <c r="G54" s="100">
        <v>0</v>
      </c>
      <c r="H54" s="101"/>
      <c r="I54" s="35"/>
      <c r="J54" s="35"/>
      <c r="K54" s="35"/>
      <c r="L54" s="47"/>
      <c r="M54" s="47"/>
      <c r="N54" s="47"/>
    </row>
    <row r="55" spans="1:14" ht="15.75" thickBot="1">
      <c r="A55" s="72"/>
      <c r="C55" s="123"/>
      <c r="D55" s="123"/>
      <c r="E55" s="124"/>
      <c r="F55" s="125" t="s">
        <v>164</v>
      </c>
      <c r="G55" s="126">
        <v>223</v>
      </c>
      <c r="H55" s="119"/>
      <c r="I55" s="35"/>
      <c r="J55" s="35"/>
      <c r="K55" s="35"/>
      <c r="L55" s="47"/>
      <c r="M55" s="47"/>
      <c r="N55" s="47"/>
    </row>
    <row r="56" spans="1:14" ht="15.75" thickBot="1">
      <c r="A56" s="72"/>
      <c r="C56" s="135" t="s">
        <v>170</v>
      </c>
      <c r="D56" s="127" t="s">
        <v>171</v>
      </c>
      <c r="E56" s="128"/>
      <c r="F56" s="129"/>
      <c r="G56" s="130"/>
      <c r="H56" s="119"/>
      <c r="I56" s="35"/>
      <c r="J56" s="35"/>
      <c r="K56" s="35"/>
      <c r="L56" s="47"/>
      <c r="M56" s="47"/>
      <c r="N56" s="47"/>
    </row>
    <row r="57" spans="1:14" ht="15.75" thickBot="1">
      <c r="A57" s="72"/>
      <c r="C57" s="136" t="s">
        <v>157</v>
      </c>
      <c r="D57" s="118" t="s">
        <v>172</v>
      </c>
      <c r="E57" s="93" t="s">
        <v>159</v>
      </c>
      <c r="F57" s="99"/>
      <c r="G57" s="100"/>
      <c r="H57" s="90"/>
      <c r="I57" s="35"/>
      <c r="J57" s="35"/>
      <c r="K57" s="35"/>
      <c r="L57" s="47"/>
      <c r="M57" s="47"/>
      <c r="N57" s="47"/>
    </row>
    <row r="58" spans="1:14" ht="15.75" thickBot="1">
      <c r="A58" s="72"/>
      <c r="C58" s="136" t="s">
        <v>166</v>
      </c>
      <c r="D58" s="118" t="s">
        <v>161</v>
      </c>
      <c r="E58" s="93" t="s">
        <v>159</v>
      </c>
      <c r="F58" s="99"/>
      <c r="G58" s="100"/>
      <c r="H58" s="101"/>
      <c r="I58" s="70"/>
      <c r="J58" s="35"/>
      <c r="K58" s="35"/>
      <c r="L58" s="47"/>
      <c r="M58" s="134"/>
      <c r="N58" s="47"/>
    </row>
    <row r="59" spans="1:14" ht="15.75" thickBot="1">
      <c r="A59" s="72"/>
      <c r="C59" s="137" t="s">
        <v>167</v>
      </c>
      <c r="D59" s="118" t="s">
        <v>168</v>
      </c>
      <c r="E59" s="93" t="s">
        <v>159</v>
      </c>
      <c r="F59" s="99"/>
      <c r="G59" s="100"/>
      <c r="H59" s="101"/>
      <c r="I59" s="35"/>
      <c r="J59" s="35"/>
      <c r="K59" s="35"/>
      <c r="L59" s="47"/>
      <c r="M59" s="47"/>
      <c r="N59" s="47"/>
    </row>
    <row r="60" spans="1:14" ht="15.75" thickBot="1">
      <c r="A60" s="72"/>
      <c r="C60" s="120" t="s">
        <v>162</v>
      </c>
      <c r="D60" s="121" t="s">
        <v>163</v>
      </c>
      <c r="E60" s="122" t="s">
        <v>159</v>
      </c>
      <c r="F60" s="99"/>
      <c r="G60" s="100">
        <v>0</v>
      </c>
      <c r="H60" s="101"/>
      <c r="I60" s="35"/>
      <c r="J60" s="35"/>
      <c r="K60" s="35"/>
      <c r="L60" s="47"/>
      <c r="M60" s="47"/>
      <c r="N60" s="47"/>
    </row>
    <row r="61" spans="1:14" ht="15.75" thickBot="1">
      <c r="A61" s="72"/>
      <c r="C61" s="123"/>
      <c r="D61" s="123"/>
      <c r="E61" s="124"/>
      <c r="F61" s="125" t="s">
        <v>164</v>
      </c>
      <c r="G61" s="126">
        <v>0</v>
      </c>
      <c r="H61" s="119"/>
      <c r="I61" s="35"/>
      <c r="J61" s="35"/>
      <c r="K61" s="35"/>
      <c r="L61" s="47"/>
      <c r="M61" s="47"/>
      <c r="N61" s="47"/>
    </row>
    <row r="62" spans="1:14" ht="15.75" thickBot="1">
      <c r="A62" s="72"/>
      <c r="C62" s="127" t="s">
        <v>173</v>
      </c>
      <c r="D62" s="127" t="s">
        <v>174</v>
      </c>
      <c r="E62" s="128"/>
      <c r="F62" s="129"/>
      <c r="G62" s="130"/>
      <c r="H62" s="119"/>
      <c r="I62" s="35"/>
      <c r="J62" s="35"/>
      <c r="K62" s="35"/>
      <c r="L62" s="47"/>
      <c r="M62" s="47"/>
      <c r="N62" s="47"/>
    </row>
    <row r="63" spans="1:14" ht="15.75" thickBot="1">
      <c r="A63" s="72"/>
      <c r="C63" s="118" t="s">
        <v>175</v>
      </c>
      <c r="D63" s="118" t="s">
        <v>176</v>
      </c>
      <c r="E63" s="98" t="s">
        <v>159</v>
      </c>
      <c r="F63" s="99">
        <v>1</v>
      </c>
      <c r="G63" s="100">
        <v>25</v>
      </c>
      <c r="H63" s="90"/>
      <c r="I63" s="35"/>
      <c r="J63" s="35"/>
      <c r="K63" s="35"/>
      <c r="L63" s="47"/>
      <c r="M63" s="47"/>
      <c r="N63" s="47"/>
    </row>
    <row r="64" spans="1:14" ht="26.25" thickBot="1">
      <c r="A64" s="138"/>
      <c r="C64" s="118" t="s">
        <v>177</v>
      </c>
      <c r="D64" s="118" t="s">
        <v>178</v>
      </c>
      <c r="E64" s="93" t="s">
        <v>159</v>
      </c>
      <c r="F64" s="99">
        <v>1</v>
      </c>
      <c r="G64" s="100">
        <v>0</v>
      </c>
      <c r="H64" s="83"/>
      <c r="I64" s="35"/>
      <c r="J64" s="35"/>
      <c r="K64" s="35"/>
      <c r="N64" s="47"/>
    </row>
    <row r="65" spans="1:14" ht="15.75" thickBot="1">
      <c r="A65" s="72"/>
      <c r="C65" s="120" t="s">
        <v>162</v>
      </c>
      <c r="D65" s="121" t="s">
        <v>163</v>
      </c>
      <c r="E65" s="122" t="s">
        <v>159</v>
      </c>
      <c r="F65" s="99">
        <v>1</v>
      </c>
      <c r="G65" s="100">
        <v>0</v>
      </c>
      <c r="H65" s="119"/>
      <c r="I65" s="35"/>
      <c r="J65" s="35"/>
      <c r="K65" s="35"/>
      <c r="N65" s="47"/>
    </row>
    <row r="66" spans="1:14" ht="15.75" thickBot="1">
      <c r="A66" s="72"/>
      <c r="C66" s="132"/>
      <c r="D66" s="132"/>
      <c r="E66" s="93"/>
      <c r="F66" s="139" t="s">
        <v>164</v>
      </c>
      <c r="G66" s="126">
        <v>25</v>
      </c>
      <c r="H66" s="119"/>
      <c r="I66" s="35"/>
      <c r="J66" s="70"/>
      <c r="K66" s="140"/>
      <c r="N66" s="47"/>
    </row>
    <row r="67" spans="1:14" s="142" customFormat="1" ht="15.75" thickBot="1">
      <c r="A67" s="141"/>
      <c r="C67" s="143"/>
      <c r="D67" s="143"/>
      <c r="E67" s="144"/>
      <c r="F67" s="145"/>
      <c r="G67" s="146"/>
      <c r="H67" s="147"/>
      <c r="I67" s="77"/>
      <c r="J67" s="77"/>
      <c r="K67" s="148"/>
      <c r="N67" s="85"/>
    </row>
    <row r="68" spans="1:14" ht="15.75" thickBot="1">
      <c r="A68" s="72"/>
      <c r="C68" s="149" t="s">
        <v>179</v>
      </c>
      <c r="D68" s="149" t="s">
        <v>180</v>
      </c>
      <c r="E68" s="150"/>
      <c r="F68" s="150"/>
      <c r="G68" s="151"/>
      <c r="H68" s="83"/>
      <c r="I68" s="35"/>
      <c r="J68" s="35"/>
      <c r="K68" s="35"/>
      <c r="N68" s="47"/>
    </row>
    <row r="69" spans="1:14" ht="15.75" thickBot="1">
      <c r="A69" s="72"/>
      <c r="C69" s="152" t="s">
        <v>181</v>
      </c>
      <c r="D69" s="152" t="s">
        <v>182</v>
      </c>
      <c r="E69" s="98" t="s">
        <v>143</v>
      </c>
      <c r="F69" s="153">
        <v>0.15</v>
      </c>
      <c r="G69" s="154"/>
      <c r="H69" s="83"/>
      <c r="I69" s="35"/>
      <c r="J69" s="35"/>
      <c r="K69" s="35"/>
      <c r="N69" s="47"/>
    </row>
    <row r="70" spans="1:14" ht="15.75" thickBot="1">
      <c r="A70" s="72"/>
      <c r="C70" s="152" t="s">
        <v>183</v>
      </c>
      <c r="D70" s="152" t="s">
        <v>184</v>
      </c>
      <c r="E70" s="98" t="s">
        <v>143</v>
      </c>
      <c r="F70" s="153">
        <v>0.1</v>
      </c>
      <c r="G70" s="154"/>
      <c r="H70" s="101"/>
      <c r="I70" s="140"/>
      <c r="J70" s="35"/>
      <c r="K70" s="35"/>
      <c r="N70" s="47"/>
    </row>
    <row r="71" spans="1:14" ht="15.75" thickBot="1">
      <c r="A71" s="72"/>
      <c r="C71" s="118" t="s">
        <v>185</v>
      </c>
      <c r="D71" s="118" t="s">
        <v>186</v>
      </c>
      <c r="E71" s="98" t="s">
        <v>187</v>
      </c>
      <c r="F71" s="155"/>
      <c r="G71" s="100">
        <f>80+10+5</f>
        <v>95</v>
      </c>
      <c r="H71" s="101"/>
      <c r="I71" s="70"/>
      <c r="J71" s="35"/>
      <c r="K71" s="35"/>
      <c r="N71" s="47"/>
    </row>
    <row r="72" spans="1:14" ht="15.75" thickBot="1">
      <c r="A72" s="72"/>
      <c r="C72" s="118" t="s">
        <v>188</v>
      </c>
      <c r="D72" s="118" t="s">
        <v>189</v>
      </c>
      <c r="E72" s="98" t="s">
        <v>190</v>
      </c>
      <c r="F72" s="156">
        <v>1</v>
      </c>
      <c r="G72" s="157">
        <v>200</v>
      </c>
      <c r="H72" s="83"/>
      <c r="I72" s="35"/>
      <c r="J72" s="70"/>
      <c r="K72" s="35"/>
      <c r="N72" s="47"/>
    </row>
    <row r="73" spans="1:14" ht="15.75" thickBot="1">
      <c r="A73" s="72"/>
      <c r="C73" s="118" t="s">
        <v>191</v>
      </c>
      <c r="D73" s="118" t="s">
        <v>192</v>
      </c>
      <c r="E73" s="98" t="s">
        <v>193</v>
      </c>
      <c r="F73" s="156">
        <v>0</v>
      </c>
      <c r="G73" s="157">
        <v>250</v>
      </c>
      <c r="H73" s="83"/>
      <c r="I73" s="35"/>
      <c r="J73" s="35"/>
      <c r="K73" s="35"/>
      <c r="L73" s="47"/>
      <c r="M73" s="47"/>
      <c r="N73" s="47"/>
    </row>
    <row r="74" spans="1:14" ht="15.75" thickBot="1">
      <c r="A74" s="72"/>
      <c r="C74" s="118" t="s">
        <v>194</v>
      </c>
      <c r="D74" s="118" t="s">
        <v>195</v>
      </c>
      <c r="E74" s="98" t="s">
        <v>196</v>
      </c>
      <c r="F74" s="156">
        <v>0</v>
      </c>
      <c r="G74" s="157">
        <v>250</v>
      </c>
      <c r="H74" s="83"/>
      <c r="I74" s="140"/>
      <c r="J74" s="35"/>
      <c r="K74" s="35"/>
      <c r="L74" s="47"/>
      <c r="M74" s="47"/>
      <c r="N74" s="47"/>
    </row>
    <row r="75" spans="1:14" ht="15.75" thickBot="1">
      <c r="A75" s="72"/>
      <c r="C75" s="136" t="s">
        <v>197</v>
      </c>
      <c r="D75" s="118" t="s">
        <v>198</v>
      </c>
      <c r="E75" s="98" t="s">
        <v>199</v>
      </c>
      <c r="F75" s="156">
        <v>0</v>
      </c>
      <c r="G75" s="157">
        <v>250</v>
      </c>
      <c r="H75" s="83"/>
      <c r="I75" s="140"/>
      <c r="J75" s="35"/>
      <c r="K75" s="35"/>
      <c r="L75" s="47"/>
      <c r="M75" s="47"/>
      <c r="N75" s="47"/>
    </row>
    <row r="76" spans="1:14" ht="15.75" thickBot="1">
      <c r="A76" s="72"/>
      <c r="C76" s="92" t="s">
        <v>200</v>
      </c>
      <c r="D76" s="92" t="s">
        <v>201</v>
      </c>
      <c r="E76" s="93"/>
      <c r="F76" s="94"/>
      <c r="G76" s="95"/>
      <c r="H76" s="90"/>
      <c r="I76" s="35"/>
      <c r="J76" s="35"/>
      <c r="K76" s="35"/>
      <c r="L76" s="47"/>
      <c r="M76" s="47"/>
      <c r="N76" s="47"/>
    </row>
    <row r="77" spans="1:14" ht="15.75" thickBot="1">
      <c r="A77" s="72"/>
      <c r="C77" s="132" t="s">
        <v>202</v>
      </c>
      <c r="D77" s="132" t="s">
        <v>203</v>
      </c>
      <c r="E77" s="158" t="s">
        <v>204</v>
      </c>
      <c r="F77" s="99">
        <v>1</v>
      </c>
      <c r="G77" s="100">
        <v>66</v>
      </c>
      <c r="H77" s="83"/>
      <c r="I77" s="35"/>
      <c r="J77" s="35"/>
      <c r="K77" s="35"/>
      <c r="L77" s="47"/>
      <c r="M77" s="47"/>
      <c r="N77" s="47"/>
    </row>
    <row r="78" spans="1:14" ht="15.75" thickBot="1">
      <c r="A78" s="72"/>
      <c r="C78" s="132" t="s">
        <v>205</v>
      </c>
      <c r="D78" s="132" t="s">
        <v>206</v>
      </c>
      <c r="E78" s="158" t="s">
        <v>204</v>
      </c>
      <c r="F78" s="99">
        <v>1</v>
      </c>
      <c r="G78" s="100">
        <v>132</v>
      </c>
      <c r="H78" s="83"/>
      <c r="I78" s="35"/>
      <c r="J78" s="35"/>
      <c r="K78" s="35"/>
      <c r="L78" s="47"/>
      <c r="M78" s="47"/>
      <c r="N78" s="47"/>
    </row>
    <row r="79" spans="1:14" ht="15.75" thickBot="1">
      <c r="A79" s="138"/>
      <c r="C79" s="159"/>
      <c r="D79" s="159"/>
      <c r="E79" s="160"/>
      <c r="F79" s="161" t="s">
        <v>46</v>
      </c>
      <c r="G79" s="126">
        <v>198</v>
      </c>
      <c r="H79" s="83"/>
      <c r="I79" s="35"/>
      <c r="J79" s="35"/>
      <c r="K79" s="35"/>
      <c r="L79" s="47"/>
      <c r="M79" s="47"/>
      <c r="N79" s="47"/>
    </row>
    <row r="80" spans="1:14">
      <c r="A80" s="138"/>
      <c r="C80" s="138"/>
      <c r="D80" s="138"/>
      <c r="E80" s="83"/>
      <c r="F80" s="162"/>
      <c r="G80" s="163"/>
      <c r="H80" s="90"/>
      <c r="I80" s="83"/>
      <c r="L80" s="47"/>
      <c r="M80" s="47"/>
      <c r="N80" s="47"/>
    </row>
    <row r="81" spans="1:14" ht="14.1" hidden="1" customHeight="1">
      <c r="A81" s="138"/>
      <c r="C81" s="164" t="s">
        <v>207</v>
      </c>
      <c r="D81" s="138"/>
      <c r="E81" s="165">
        <f>ROUND(IF($F$18&gt;0,(E11+$E$16*E11/$F$16+$E$17*E11/$F$17+$E$18*E11/$F$18),IF($F$17&gt;0,(E11+$E$16*E11/$F$16+$E$17*E11/$F$17),IF($F$16&gt;0,(E11+$E$16*E11/$F$16),E11))),0)</f>
        <v>101</v>
      </c>
      <c r="F81" s="165">
        <f>ROUND(IF($F$18&gt;0,(F11+$E$16*F11/$F$16+$E$17*F11/$F$17+$E$18*F11/$F$18),IF($F$17&gt;0,(F11+$E$16*F11/$F$16+$E$17*F11/$F$17),IF($F$16&gt;0,(F11+$E$16*F11/$F$16),F11))),0)</f>
        <v>201</v>
      </c>
      <c r="G81" s="165">
        <f>ROUND(IF($F$18&gt;0,(G11+$E$16*G11/$F$16+$E$17*G11/$F$17+$E$18*G11/$F$18),IF($F$17&gt;0,(G11+$E$16*G11/$F$16+$E$17*G11/$F$17),IF($F$16&gt;0,(G11+$E$16*G11/$F$16),G11))),0)</f>
        <v>503</v>
      </c>
      <c r="H81" s="165">
        <f>ROUND(IF($F$18&gt;0,(H11+$E$16*H11/$F$16+$E$17*H11/$F$17+$E$18*H11/$F$18),IF($F$17&gt;0,(H11+$E$16*H11/$F$16+$E$17*H11/$F$17),IF($F$16&gt;0,(H11+$E$16*H11/$F$16),H11))),0)</f>
        <v>1006</v>
      </c>
      <c r="I81" s="165">
        <f>ROUND(IF($F$18&gt;0,(I11+$E$16*I11/$F$16+$E$17*I11/$F$17+$E$18*I11/$F$18),IF($F$17&gt;0,(I11+$E$16*I11/$F$16+$E$17*I11/$F$17),IF($F$16&gt;0,(I11+$E$16*I11/$F$16),I11))),0)</f>
        <v>2515</v>
      </c>
      <c r="L81" s="47"/>
      <c r="M81" s="47"/>
      <c r="N81" s="47"/>
    </row>
    <row r="82" spans="1:14" ht="14.1" hidden="1" customHeight="1">
      <c r="A82" s="138"/>
      <c r="C82" s="164" t="s">
        <v>208</v>
      </c>
      <c r="D82" s="138"/>
      <c r="E82" s="165">
        <f>IF(E13="Community",10,IF(E13="Standard",50,IF(E13="PRO",250,IF(E13="Advanced",500,IF(E13="Enterprise",2000)))))</f>
        <v>50</v>
      </c>
      <c r="F82" s="165">
        <f>IF(F13="Community",10,IF(F13="Standard",50,IF(F13="PRO",250,IF(F13="Advanced",500,IF(F13="Enterprise",2000)))))</f>
        <v>250</v>
      </c>
      <c r="G82" s="165">
        <f>IF(G13="Community",10,IF(G13="Standard",50,IF(G13="PRO",250,IF(G13="Advanced",500,IF(G13="Enterprise",2000)))))</f>
        <v>250</v>
      </c>
      <c r="H82" s="165">
        <f>IF(H13="Community",10,IF(H13="Standard",50,IF(H13="PRO",250,IF(H13="Advanced",500,IF(H13="Enterprise",2000)))))</f>
        <v>500</v>
      </c>
      <c r="I82" s="165">
        <f>IF(I13="Community",10,IF(I13="Standard",50,IF(I13="PRO",250,IF(I13="Advanced",500,IF(I13="Enterprise",2000)))))</f>
        <v>2000</v>
      </c>
      <c r="L82" s="47"/>
      <c r="M82" s="47"/>
      <c r="N82" s="47"/>
    </row>
    <row r="83" spans="1:14" ht="12.95" customHeight="1" thickBot="1">
      <c r="A83" s="138"/>
      <c r="C83" s="138"/>
      <c r="D83" s="138"/>
      <c r="E83" s="83"/>
      <c r="F83" s="162"/>
      <c r="G83" s="163"/>
      <c r="H83" s="90"/>
      <c r="I83" s="83"/>
      <c r="L83" s="47"/>
      <c r="M83" s="47"/>
      <c r="N83" s="47"/>
    </row>
    <row r="84" spans="1:14" ht="15.75">
      <c r="A84" s="30"/>
      <c r="C84" s="166" t="s">
        <v>209</v>
      </c>
      <c r="D84" s="166" t="s">
        <v>107</v>
      </c>
      <c r="E84" s="167" t="s">
        <v>108</v>
      </c>
      <c r="F84" s="167" t="s">
        <v>109</v>
      </c>
      <c r="G84" s="167" t="s">
        <v>110</v>
      </c>
      <c r="H84" s="167" t="s">
        <v>111</v>
      </c>
      <c r="I84" s="168" t="s">
        <v>112</v>
      </c>
      <c r="L84" s="47"/>
      <c r="M84" s="47"/>
      <c r="N84" s="47"/>
    </row>
    <row r="85" spans="1:14" ht="26.25" thickBot="1">
      <c r="A85" s="30"/>
      <c r="C85" s="169" t="s">
        <v>210</v>
      </c>
      <c r="D85" s="48" t="s">
        <v>211</v>
      </c>
      <c r="E85" s="170">
        <f>IF(E13="Community",0,IF(E13="Standard",250,IF(E13="PRO",500,IF(E13="Advanced",1000,IF(E13="Enterprise",2000)))))</f>
        <v>250</v>
      </c>
      <c r="F85" s="170">
        <f>IF(F13="Community",0,IF(F13="Standard",250,IF(F13="PRO",500,IF(F13="Advanced",1000,IF(F13="Enterprise",2000)))))</f>
        <v>500</v>
      </c>
      <c r="G85" s="170">
        <f>IF(G13="Community",0,IF(G13="Standard",250,IF(G13="PRO",500,IF(G13="Advanced",1000,IF(G13="Enterprise",2000)))))</f>
        <v>500</v>
      </c>
      <c r="H85" s="170">
        <f>IF(H13="Community",0,IF(H13="Standard",250,IF(H13="PRO",500,IF(H13="Advanced",1000,IF(H13="Enterprise",2000)))))</f>
        <v>1000</v>
      </c>
      <c r="I85" s="170">
        <f>IF(I13="Community",0,IF(I13="Standard",250,IF(I13="PRO",500,IF(I13="Advanced",1000,IF(I13="Enterprise",2000)))))</f>
        <v>2000</v>
      </c>
      <c r="K85" s="171"/>
      <c r="L85" s="47"/>
      <c r="M85" s="47"/>
      <c r="N85" s="47"/>
    </row>
    <row r="86" spans="1:14" ht="15.75" thickBot="1">
      <c r="A86" s="30"/>
      <c r="C86" s="41" t="s">
        <v>212</v>
      </c>
      <c r="D86" s="48" t="s">
        <v>213</v>
      </c>
      <c r="E86" s="170">
        <f>IF(E81&lt;=E82,0,IF(E13="Enterprise",CEILING((E81-E82)/1000,1)*250,(E81-E82)*2))</f>
        <v>102</v>
      </c>
      <c r="F86" s="170">
        <f>IF(F81&lt;=F82,0,IF(F13="Enterprise",CEILING((F81-F82)/1000,1)*250,(F81-F82)*2))</f>
        <v>0</v>
      </c>
      <c r="G86" s="170">
        <f>IF(G81&lt;=G82,0,IF(G13="Enterprise",CEILING((G81-G82)/1000,1)*250,(G81-G82)*2))</f>
        <v>506</v>
      </c>
      <c r="H86" s="170">
        <f>IF(H81&lt;=H82,0,IF(H13="Enterprise",CEILING((H81-H82)/1000,1)*250,(H81-H82)*2))</f>
        <v>1012</v>
      </c>
      <c r="I86" s="170">
        <f>IF(I81&lt;=I82,0,IF(I13="Enterprise",CEILING((I81-I82)/1000,1)*250,(I81-I82)*2))</f>
        <v>250</v>
      </c>
      <c r="L86" s="47"/>
      <c r="M86" s="47"/>
      <c r="N86" s="47"/>
    </row>
    <row r="87" spans="1:14" ht="15.75" thickBot="1">
      <c r="C87" s="172" t="s">
        <v>214</v>
      </c>
      <c r="D87" s="48" t="s">
        <v>215</v>
      </c>
      <c r="E87" s="170">
        <f>E85+E86</f>
        <v>352</v>
      </c>
      <c r="F87" s="170">
        <f>F85+F86</f>
        <v>500</v>
      </c>
      <c r="G87" s="170">
        <f>G85+G86</f>
        <v>1006</v>
      </c>
      <c r="H87" s="170">
        <f>H85+H86</f>
        <v>2012</v>
      </c>
      <c r="I87" s="170">
        <f>I85+I86</f>
        <v>2250</v>
      </c>
      <c r="L87" s="47"/>
      <c r="M87" s="47"/>
      <c r="N87" s="47"/>
    </row>
    <row r="88" spans="1:14">
      <c r="L88" s="47"/>
      <c r="M88" s="47"/>
      <c r="N88" s="47"/>
    </row>
    <row r="89" spans="1:14">
      <c r="L89" s="47"/>
      <c r="M89" s="47"/>
      <c r="N89" s="47"/>
    </row>
    <row r="90" spans="1:14">
      <c r="L90" s="47"/>
      <c r="M90" s="47"/>
      <c r="N90" s="47"/>
    </row>
    <row r="91" spans="1:14">
      <c r="L91" s="47"/>
      <c r="M91" s="47"/>
      <c r="N91" s="47"/>
    </row>
    <row r="92" spans="1:14">
      <c r="L92" s="47"/>
      <c r="M92" s="47"/>
      <c r="N92" s="47"/>
    </row>
    <row r="93" spans="1:14">
      <c r="L93" s="47"/>
      <c r="M93" s="47"/>
      <c r="N93" s="47"/>
    </row>
    <row r="94" spans="1:14">
      <c r="L94" s="47"/>
      <c r="M94" s="47"/>
      <c r="N94" s="47"/>
    </row>
    <row r="95" spans="1:14">
      <c r="L95" s="47"/>
      <c r="M95" s="47"/>
      <c r="N95" s="47"/>
    </row>
    <row r="96" spans="1:14">
      <c r="L96" s="47"/>
      <c r="M96" s="47"/>
      <c r="N96" s="47"/>
    </row>
  </sheetData>
  <mergeCells count="1">
    <mergeCell ref="L15:N18"/>
  </mergeCells>
  <dataValidations count="1">
    <dataValidation type="list" allowBlank="1" showInputMessage="1" showErrorMessage="1" sqref="E13:I13" xr:uid="{6A2FBBFB-B754-4275-BD96-AD5E204EF916}">
      <formula1>$E$1:$E$5</formula1>
    </dataValidation>
  </dataValidations>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8CA01-06C8-4FB5-A954-D4D5AAB8CFB1}">
  <sheetPr codeName="Sheet32"/>
  <dimension ref="A1:X86"/>
  <sheetViews>
    <sheetView topLeftCell="A13" zoomScale="80" zoomScaleNormal="80" workbookViewId="0">
      <selection activeCell="O17" sqref="O17"/>
    </sheetView>
  </sheetViews>
  <sheetFormatPr defaultColWidth="10.85546875" defaultRowHeight="15"/>
  <cols>
    <col min="1" max="2" width="10.85546875" style="176"/>
    <col min="3" max="3" width="27.85546875" style="176" customWidth="1"/>
    <col min="4" max="7" width="10.85546875" style="282"/>
    <col min="8" max="8" width="12.140625" style="282" customWidth="1"/>
    <col min="9" max="9" width="34" style="282" customWidth="1"/>
    <col min="10" max="10" width="5.42578125" style="176" bestFit="1" customWidth="1"/>
    <col min="11" max="16384" width="10.85546875" style="176"/>
  </cols>
  <sheetData>
    <row r="1" spans="1:24">
      <c r="A1" s="173"/>
      <c r="B1" s="18"/>
      <c r="C1" s="18"/>
      <c r="D1" s="174"/>
      <c r="E1" s="174"/>
      <c r="F1" s="174"/>
      <c r="G1" s="174"/>
      <c r="H1" s="174"/>
      <c r="I1" s="174"/>
      <c r="J1" s="20"/>
      <c r="K1" s="173"/>
      <c r="L1" s="18"/>
      <c r="M1" s="18"/>
      <c r="N1" s="19"/>
      <c r="O1" s="19"/>
      <c r="P1" s="18"/>
      <c r="Q1" s="18"/>
      <c r="R1" s="18"/>
      <c r="S1" s="18"/>
      <c r="T1" s="20"/>
      <c r="U1" s="20"/>
      <c r="V1" s="20"/>
      <c r="W1" s="20"/>
      <c r="X1" s="175"/>
    </row>
    <row r="2" spans="1:24" ht="18.75">
      <c r="A2" s="177"/>
      <c r="B2" s="20"/>
      <c r="C2" s="20"/>
      <c r="D2" s="178"/>
      <c r="E2" s="178"/>
      <c r="F2" s="178"/>
      <c r="G2" s="178"/>
      <c r="H2" s="178"/>
      <c r="I2" s="179" t="s">
        <v>218</v>
      </c>
      <c r="J2" s="20"/>
      <c r="K2" s="177"/>
      <c r="L2" s="20"/>
      <c r="M2" s="20"/>
      <c r="N2" s="23"/>
      <c r="O2" s="23"/>
      <c r="P2" s="20"/>
      <c r="Q2" s="20"/>
      <c r="R2" s="20"/>
      <c r="S2" s="15"/>
      <c r="T2" s="15"/>
      <c r="U2" s="20"/>
      <c r="V2" s="20"/>
      <c r="W2" s="20"/>
      <c r="X2" s="175"/>
    </row>
    <row r="3" spans="1:24">
      <c r="A3" s="180"/>
      <c r="B3" s="181"/>
      <c r="C3" s="181"/>
      <c r="D3" s="182"/>
      <c r="E3" s="182"/>
      <c r="F3" s="182"/>
      <c r="G3" s="182"/>
      <c r="H3" s="182"/>
      <c r="I3" s="182"/>
      <c r="J3" s="181"/>
      <c r="K3" s="180"/>
      <c r="L3" s="181"/>
      <c r="M3" s="181"/>
      <c r="N3" s="181"/>
      <c r="O3" s="183"/>
      <c r="P3" s="181"/>
      <c r="Q3" s="181"/>
      <c r="R3" s="181"/>
      <c r="S3" s="184"/>
      <c r="T3" s="184"/>
      <c r="U3" s="184"/>
      <c r="V3" s="184"/>
      <c r="W3" s="184"/>
      <c r="X3" s="185"/>
    </row>
    <row r="4" spans="1:24">
      <c r="A4" s="186"/>
      <c r="B4" s="20"/>
      <c r="C4" s="20"/>
      <c r="D4" s="178"/>
      <c r="E4" s="178"/>
      <c r="F4" s="187"/>
      <c r="G4" s="178"/>
      <c r="H4" s="178"/>
      <c r="I4" s="178"/>
      <c r="J4" s="20"/>
      <c r="K4" s="186"/>
      <c r="L4" s="20"/>
      <c r="M4" s="20"/>
      <c r="N4" s="20"/>
      <c r="O4" s="20"/>
      <c r="P4" s="20"/>
      <c r="Q4" s="20"/>
      <c r="R4" s="20"/>
      <c r="S4" s="188"/>
      <c r="T4" s="188"/>
      <c r="U4" s="188"/>
      <c r="V4" s="188"/>
      <c r="W4" s="188"/>
      <c r="X4" s="189"/>
    </row>
    <row r="5" spans="1:24" ht="18.75">
      <c r="A5" s="190"/>
      <c r="B5" s="191" t="s">
        <v>219</v>
      </c>
      <c r="C5" s="192"/>
      <c r="D5" s="193"/>
      <c r="E5" s="193"/>
      <c r="F5" s="193"/>
      <c r="G5" s="193"/>
      <c r="H5" s="193"/>
      <c r="I5" s="193"/>
      <c r="J5" s="15"/>
      <c r="K5" s="190"/>
      <c r="L5" s="15"/>
      <c r="M5" s="35"/>
      <c r="N5" s="35"/>
      <c r="O5" s="35"/>
      <c r="P5" s="35"/>
      <c r="Q5" s="35"/>
      <c r="R5" s="35"/>
      <c r="S5" s="35"/>
      <c r="T5" s="35"/>
      <c r="U5" s="35"/>
      <c r="V5" s="35"/>
      <c r="W5" s="35"/>
      <c r="X5" s="194"/>
    </row>
    <row r="6" spans="1:24" ht="15.75" thickBot="1">
      <c r="A6" s="190"/>
      <c r="B6" s="15"/>
      <c r="C6" s="195"/>
      <c r="D6" s="193"/>
      <c r="E6" s="193"/>
      <c r="F6" s="193"/>
      <c r="G6" s="193"/>
      <c r="H6" s="193"/>
      <c r="I6" s="193"/>
      <c r="J6" s="15"/>
      <c r="K6" s="190"/>
      <c r="L6" s="15"/>
      <c r="M6" s="35"/>
      <c r="N6" s="35"/>
      <c r="O6" s="35"/>
      <c r="P6" s="35"/>
      <c r="Q6" s="35"/>
      <c r="R6" s="35"/>
      <c r="S6" s="35"/>
      <c r="T6" s="35"/>
      <c r="U6" s="35"/>
      <c r="V6" s="35"/>
      <c r="W6" s="35"/>
      <c r="X6" s="194"/>
    </row>
    <row r="7" spans="1:24">
      <c r="A7" s="196"/>
      <c r="B7" s="197" t="s">
        <v>220</v>
      </c>
      <c r="C7" s="198"/>
      <c r="D7" s="199" t="s">
        <v>108</v>
      </c>
      <c r="E7" s="199" t="s">
        <v>109</v>
      </c>
      <c r="F7" s="199" t="s">
        <v>110</v>
      </c>
      <c r="G7" s="199" t="s">
        <v>111</v>
      </c>
      <c r="H7" s="199" t="s">
        <v>112</v>
      </c>
      <c r="I7" s="200" t="s">
        <v>221</v>
      </c>
      <c r="J7" s="15"/>
      <c r="K7" s="196"/>
      <c r="L7" s="15"/>
      <c r="M7" s="35"/>
      <c r="N7" s="35"/>
      <c r="O7" s="35"/>
      <c r="P7" s="35"/>
      <c r="Q7" s="35"/>
      <c r="R7" s="35"/>
      <c r="S7" s="65"/>
      <c r="T7" s="65"/>
      <c r="U7" s="35"/>
      <c r="V7" s="35"/>
      <c r="W7" s="35"/>
      <c r="X7" s="194"/>
    </row>
    <row r="8" spans="1:24">
      <c r="A8" s="190"/>
      <c r="B8" s="201" t="s">
        <v>222</v>
      </c>
      <c r="C8" s="202"/>
      <c r="D8" s="203"/>
      <c r="E8" s="203"/>
      <c r="F8" s="203"/>
      <c r="G8" s="203"/>
      <c r="H8" s="204"/>
      <c r="I8" s="205"/>
      <c r="J8" s="15"/>
      <c r="K8" s="190"/>
      <c r="L8" s="15"/>
      <c r="M8" s="35"/>
      <c r="N8" s="35"/>
      <c r="O8" s="35"/>
      <c r="P8" s="35"/>
      <c r="Q8" s="35"/>
      <c r="R8" s="35"/>
      <c r="S8" s="65"/>
      <c r="T8" s="65"/>
      <c r="U8" s="35"/>
      <c r="V8" s="35"/>
      <c r="W8" s="35"/>
      <c r="X8" s="194"/>
    </row>
    <row r="9" spans="1:24">
      <c r="A9" s="190"/>
      <c r="B9" s="206" t="s">
        <v>223</v>
      </c>
      <c r="C9" s="207"/>
      <c r="D9" s="208">
        <v>1200</v>
      </c>
      <c r="E9" s="208">
        <v>2616.0000000000005</v>
      </c>
      <c r="F9" s="208">
        <v>7128.6</v>
      </c>
      <c r="G9" s="208">
        <v>15540.348000000002</v>
      </c>
      <c r="H9" s="208">
        <v>42347.448300000004</v>
      </c>
      <c r="I9" s="209">
        <f t="shared" ref="I9:I23" si="0">SUM(D9:H9)</f>
        <v>68832.396300000008</v>
      </c>
      <c r="J9" s="15"/>
      <c r="K9" s="190"/>
      <c r="L9" s="15"/>
      <c r="M9" s="35"/>
      <c r="N9" s="35"/>
      <c r="O9" s="35"/>
      <c r="P9" s="35"/>
      <c r="Q9" s="35"/>
      <c r="R9" s="35"/>
      <c r="S9" s="65"/>
      <c r="T9" s="65"/>
      <c r="U9" s="35"/>
      <c r="V9" s="35"/>
      <c r="W9" s="35"/>
      <c r="X9" s="194"/>
    </row>
    <row r="10" spans="1:24">
      <c r="A10" s="190"/>
      <c r="B10" s="206" t="s">
        <v>224</v>
      </c>
      <c r="C10" s="210"/>
      <c r="D10" s="211">
        <v>2419.2000000000003</v>
      </c>
      <c r="E10" s="211">
        <v>5273.8560000000007</v>
      </c>
      <c r="F10" s="211">
        <v>14371.257600000003</v>
      </c>
      <c r="G10" s="211">
        <v>31329.341568000003</v>
      </c>
      <c r="H10" s="211">
        <v>85372.455772800022</v>
      </c>
      <c r="I10" s="209">
        <f t="shared" si="0"/>
        <v>138766.11094080002</v>
      </c>
      <c r="J10" s="15"/>
      <c r="K10" s="190"/>
      <c r="L10" s="15"/>
      <c r="M10" s="35"/>
      <c r="N10" s="35"/>
      <c r="O10" s="35"/>
      <c r="P10" s="35"/>
      <c r="Q10" s="35"/>
      <c r="R10" s="35"/>
      <c r="S10" s="65"/>
      <c r="T10" s="65"/>
      <c r="U10" s="35"/>
      <c r="V10" s="35"/>
      <c r="W10" s="35"/>
      <c r="X10" s="194"/>
    </row>
    <row r="11" spans="1:24">
      <c r="A11" s="190"/>
      <c r="B11" s="212" t="s">
        <v>225</v>
      </c>
      <c r="C11" s="213"/>
      <c r="D11" s="214">
        <f>SUM(D12:D19)</f>
        <v>2439</v>
      </c>
      <c r="E11" s="214">
        <f>SUM(E12:E19)</f>
        <v>3716.8128000000006</v>
      </c>
      <c r="F11" s="214">
        <f>SUM(F12:F19)</f>
        <v>11000.427804000003</v>
      </c>
      <c r="G11" s="214">
        <f>SUM(G12:G19)</f>
        <v>22079.726438400005</v>
      </c>
      <c r="H11" s="214">
        <f>SUM(H12:H19)</f>
        <v>65348.041369662009</v>
      </c>
      <c r="I11" s="215">
        <f t="shared" si="0"/>
        <v>104584.00841206202</v>
      </c>
      <c r="J11" s="15"/>
      <c r="K11" s="190"/>
      <c r="L11" s="15"/>
      <c r="M11" s="35"/>
      <c r="N11" s="35"/>
      <c r="O11" s="35"/>
      <c r="P11" s="35"/>
      <c r="Q11" s="35"/>
      <c r="R11" s="35"/>
      <c r="S11" s="65"/>
      <c r="T11" s="65"/>
      <c r="U11" s="35"/>
      <c r="V11" s="35"/>
      <c r="W11" s="35"/>
      <c r="X11" s="194"/>
    </row>
    <row r="12" spans="1:24">
      <c r="A12" s="190"/>
      <c r="B12" s="216" t="s">
        <v>226</v>
      </c>
      <c r="C12" s="217"/>
      <c r="D12" s="218">
        <v>800</v>
      </c>
      <c r="E12" s="218">
        <v>1744.0000000000002</v>
      </c>
      <c r="F12" s="218">
        <v>4752.4000000000005</v>
      </c>
      <c r="G12" s="218">
        <v>10360.232000000002</v>
      </c>
      <c r="H12" s="218">
        <v>28231.632200000004</v>
      </c>
      <c r="I12" s="219">
        <f t="shared" si="0"/>
        <v>45888.264200000005</v>
      </c>
      <c r="J12" s="15"/>
      <c r="K12" s="190"/>
      <c r="L12" s="15"/>
      <c r="M12" s="35"/>
      <c r="N12" s="35"/>
      <c r="O12" s="35"/>
      <c r="P12" s="35"/>
      <c r="Q12" s="35"/>
      <c r="R12" s="35"/>
      <c r="S12" s="65"/>
      <c r="T12" s="65"/>
      <c r="U12" s="35"/>
      <c r="V12" s="35"/>
      <c r="W12" s="35"/>
      <c r="X12" s="194"/>
    </row>
    <row r="13" spans="1:24">
      <c r="A13" s="190"/>
      <c r="B13" s="216" t="s">
        <v>227</v>
      </c>
      <c r="C13" s="217"/>
      <c r="D13" s="218">
        <v>3</v>
      </c>
      <c r="E13" s="218">
        <v>6.5400000000000009</v>
      </c>
      <c r="F13" s="218">
        <v>17.821500000000004</v>
      </c>
      <c r="G13" s="218">
        <v>38.850870000000008</v>
      </c>
      <c r="H13" s="218">
        <v>105.86862075000002</v>
      </c>
      <c r="I13" s="219">
        <f t="shared" si="0"/>
        <v>172.08099075000004</v>
      </c>
      <c r="J13" s="15"/>
      <c r="K13" s="190"/>
      <c r="L13" s="15"/>
      <c r="M13" s="35"/>
      <c r="N13" s="35"/>
      <c r="O13" s="35"/>
      <c r="P13" s="35"/>
      <c r="Q13" s="35"/>
      <c r="R13" s="35"/>
      <c r="S13" s="65"/>
      <c r="T13" s="65"/>
      <c r="U13" s="35"/>
      <c r="V13" s="35"/>
      <c r="W13" s="35"/>
      <c r="X13" s="194"/>
    </row>
    <row r="14" spans="1:24">
      <c r="A14" s="190"/>
      <c r="B14" s="216" t="s">
        <v>228</v>
      </c>
      <c r="C14" s="217"/>
      <c r="D14" s="218">
        <v>4.8000000000000007</v>
      </c>
      <c r="E14" s="218">
        <v>10.464000000000002</v>
      </c>
      <c r="F14" s="218">
        <v>28.514400000000002</v>
      </c>
      <c r="G14" s="218">
        <v>62.161392000000006</v>
      </c>
      <c r="H14" s="218">
        <v>169.38979320000004</v>
      </c>
      <c r="I14" s="219">
        <f t="shared" si="0"/>
        <v>275.32958520000005</v>
      </c>
      <c r="J14" s="15"/>
      <c r="K14" s="190"/>
      <c r="L14" s="15"/>
      <c r="M14" s="35"/>
      <c r="N14" s="35"/>
      <c r="O14" s="35"/>
      <c r="P14" s="35"/>
      <c r="Q14" s="35"/>
      <c r="R14" s="35"/>
      <c r="S14" s="65"/>
      <c r="T14" s="65"/>
      <c r="U14" s="35"/>
      <c r="V14" s="35"/>
      <c r="W14" s="35"/>
      <c r="X14" s="194"/>
    </row>
    <row r="15" spans="1:24">
      <c r="A15" s="190"/>
      <c r="B15" s="220" t="s">
        <v>229</v>
      </c>
      <c r="C15" s="217"/>
      <c r="D15" s="218">
        <v>0</v>
      </c>
      <c r="E15" s="218">
        <v>0</v>
      </c>
      <c r="F15" s="218">
        <v>0</v>
      </c>
      <c r="G15" s="218">
        <v>0</v>
      </c>
      <c r="H15" s="218">
        <v>0</v>
      </c>
      <c r="I15" s="219"/>
      <c r="J15" s="15"/>
      <c r="K15" s="190"/>
      <c r="L15" s="15"/>
      <c r="M15" s="35"/>
      <c r="N15" s="35"/>
      <c r="O15" s="35"/>
      <c r="P15" s="35"/>
      <c r="Q15" s="35"/>
      <c r="R15" s="35"/>
      <c r="S15" s="65"/>
      <c r="T15" s="65"/>
      <c r="U15" s="35"/>
      <c r="V15" s="35"/>
      <c r="W15" s="35"/>
      <c r="X15" s="194"/>
    </row>
    <row r="16" spans="1:24">
      <c r="A16" s="190"/>
      <c r="B16" s="216" t="s">
        <v>230</v>
      </c>
      <c r="C16" s="217"/>
      <c r="D16" s="218">
        <v>1600</v>
      </c>
      <c r="E16" s="218">
        <v>1918.4</v>
      </c>
      <c r="F16" s="218">
        <v>6083.072000000001</v>
      </c>
      <c r="G16" s="218">
        <v>11396.255200000001</v>
      </c>
      <c r="H16" s="218">
        <v>36136.489216000009</v>
      </c>
      <c r="I16" s="219">
        <f t="shared" si="0"/>
        <v>57134.21641600001</v>
      </c>
      <c r="J16" s="15"/>
      <c r="K16" s="190"/>
      <c r="L16" s="15"/>
      <c r="M16" s="35"/>
      <c r="N16" s="35"/>
      <c r="O16" s="35"/>
      <c r="P16" s="35"/>
      <c r="Q16" s="35"/>
      <c r="R16" s="35"/>
      <c r="S16" s="65"/>
      <c r="T16" s="65"/>
      <c r="U16" s="35"/>
      <c r="V16" s="35"/>
      <c r="W16" s="35"/>
      <c r="X16" s="194"/>
    </row>
    <row r="17" spans="1:24">
      <c r="A17" s="190"/>
      <c r="B17" s="216" t="s">
        <v>231</v>
      </c>
      <c r="C17" s="217"/>
      <c r="D17" s="218">
        <v>12</v>
      </c>
      <c r="E17" s="218">
        <v>14.388000000000002</v>
      </c>
      <c r="F17" s="218">
        <v>45.623040000000003</v>
      </c>
      <c r="G17" s="218">
        <v>85.471914000000012</v>
      </c>
      <c r="H17" s="218">
        <v>271.02366912000002</v>
      </c>
      <c r="I17" s="219">
        <f t="shared" si="0"/>
        <v>428.50662312000003</v>
      </c>
      <c r="J17" s="15"/>
      <c r="K17" s="190"/>
      <c r="L17" s="15"/>
      <c r="M17" s="35"/>
      <c r="N17" s="35"/>
      <c r="O17" s="35"/>
      <c r="P17" s="35"/>
      <c r="Q17" s="35"/>
      <c r="R17" s="35"/>
      <c r="S17" s="65"/>
      <c r="T17" s="65"/>
      <c r="U17" s="35"/>
      <c r="V17" s="35"/>
      <c r="W17" s="35"/>
      <c r="X17" s="194"/>
    </row>
    <row r="18" spans="1:24">
      <c r="A18" s="190"/>
      <c r="B18" s="216" t="s">
        <v>232</v>
      </c>
      <c r="C18" s="217"/>
      <c r="D18" s="218">
        <v>19.200000000000003</v>
      </c>
      <c r="E18" s="218">
        <v>23.020800000000008</v>
      </c>
      <c r="F18" s="218">
        <v>72.996864000000002</v>
      </c>
      <c r="G18" s="218">
        <v>136.75506240000004</v>
      </c>
      <c r="H18" s="218">
        <v>433.63787059200013</v>
      </c>
      <c r="I18" s="219">
        <f>SUM(D18:H18)</f>
        <v>685.61059699200018</v>
      </c>
      <c r="J18" s="15"/>
      <c r="K18" s="190"/>
      <c r="L18" s="15"/>
      <c r="M18" s="35"/>
      <c r="N18" s="35"/>
      <c r="O18" s="35"/>
      <c r="P18" s="35"/>
      <c r="Q18" s="35"/>
      <c r="R18" s="35"/>
      <c r="S18" s="65"/>
      <c r="T18" s="65"/>
      <c r="U18" s="35"/>
      <c r="V18" s="35"/>
      <c r="W18" s="35"/>
      <c r="X18" s="194"/>
    </row>
    <row r="19" spans="1:24">
      <c r="A19" s="190"/>
      <c r="B19" s="221" t="s">
        <v>233</v>
      </c>
      <c r="C19" s="222"/>
      <c r="D19" s="223">
        <v>0</v>
      </c>
      <c r="E19" s="223">
        <v>0</v>
      </c>
      <c r="F19" s="223">
        <v>0</v>
      </c>
      <c r="G19" s="223">
        <v>0</v>
      </c>
      <c r="H19" s="223">
        <v>0</v>
      </c>
      <c r="I19" s="224">
        <f>SUM(D19:H19)</f>
        <v>0</v>
      </c>
      <c r="J19" s="15"/>
      <c r="K19" s="190"/>
      <c r="L19" s="15"/>
      <c r="M19" s="35"/>
      <c r="N19" s="35"/>
      <c r="O19" s="35"/>
      <c r="P19" s="35"/>
      <c r="Q19" s="35"/>
      <c r="R19" s="35"/>
      <c r="S19" s="65"/>
      <c r="T19" s="65"/>
      <c r="U19" s="35"/>
      <c r="V19" s="35"/>
      <c r="W19" s="35"/>
      <c r="X19" s="194"/>
    </row>
    <row r="20" spans="1:24">
      <c r="A20" s="190"/>
      <c r="B20" s="225" t="s">
        <v>234</v>
      </c>
      <c r="C20" s="226"/>
      <c r="D20" s="227">
        <v>300</v>
      </c>
      <c r="E20" s="227">
        <v>327</v>
      </c>
      <c r="F20" s="227">
        <v>356.43000000000006</v>
      </c>
      <c r="G20" s="227">
        <v>388.50870000000009</v>
      </c>
      <c r="H20" s="227">
        <v>423.47448300000008</v>
      </c>
      <c r="I20" s="228">
        <f t="shared" si="0"/>
        <v>1795.4131830000001</v>
      </c>
      <c r="J20" s="15"/>
      <c r="K20" s="190"/>
      <c r="L20" s="15"/>
      <c r="M20" s="35"/>
      <c r="N20" s="35"/>
      <c r="O20" s="35"/>
      <c r="P20" s="35"/>
      <c r="Q20" s="35"/>
      <c r="R20" s="35"/>
      <c r="S20" s="65"/>
      <c r="T20" s="65"/>
      <c r="U20" s="35"/>
      <c r="V20" s="35"/>
      <c r="W20" s="35"/>
      <c r="X20" s="194"/>
    </row>
    <row r="21" spans="1:24">
      <c r="A21" s="190"/>
      <c r="B21" s="225" t="s">
        <v>235</v>
      </c>
      <c r="C21" s="226"/>
      <c r="D21" s="227">
        <v>4224</v>
      </c>
      <c r="E21" s="227">
        <v>6000</v>
      </c>
      <c r="F21" s="227">
        <v>12072</v>
      </c>
      <c r="G21" s="227">
        <v>24144</v>
      </c>
      <c r="H21" s="227">
        <v>27000</v>
      </c>
      <c r="I21" s="229">
        <f t="shared" si="0"/>
        <v>73440</v>
      </c>
      <c r="J21" s="15"/>
      <c r="K21" s="190"/>
      <c r="L21" s="15"/>
      <c r="M21" s="35"/>
      <c r="N21" s="35"/>
      <c r="O21" s="35"/>
      <c r="P21" s="35"/>
      <c r="Q21" s="35"/>
      <c r="R21" s="35"/>
      <c r="S21" s="65"/>
      <c r="T21" s="65"/>
      <c r="U21" s="35"/>
      <c r="V21" s="35"/>
      <c r="W21" s="35"/>
      <c r="X21" s="194"/>
    </row>
    <row r="22" spans="1:24">
      <c r="A22" s="190"/>
      <c r="B22" s="212"/>
      <c r="C22" s="213"/>
      <c r="D22" s="230"/>
      <c r="E22" s="230"/>
      <c r="F22" s="230"/>
      <c r="G22" s="230"/>
      <c r="H22" s="230"/>
      <c r="I22" s="231"/>
      <c r="J22" s="15"/>
      <c r="K22" s="190"/>
      <c r="L22" s="15"/>
      <c r="M22" s="35"/>
      <c r="N22" s="35"/>
      <c r="O22" s="35"/>
      <c r="P22" s="35"/>
      <c r="Q22" s="35"/>
      <c r="R22" s="35"/>
      <c r="S22" s="65"/>
      <c r="T22" s="65"/>
      <c r="U22" s="35"/>
      <c r="V22" s="35"/>
      <c r="W22" s="35"/>
      <c r="X22" s="194"/>
    </row>
    <row r="23" spans="1:24" ht="15.75" thickBot="1">
      <c r="A23" s="190"/>
      <c r="B23" s="232" t="s">
        <v>236</v>
      </c>
      <c r="C23" s="233"/>
      <c r="D23" s="234">
        <f>SUM(D20:D22,D11,D9:D10)</f>
        <v>10582.2</v>
      </c>
      <c r="E23" s="234">
        <f>SUM(E20:E22,E11,E9:E10)</f>
        <v>17933.668799999999</v>
      </c>
      <c r="F23" s="234">
        <f>SUM(F20:F22,F11,F9:F10)</f>
        <v>44928.71540400001</v>
      </c>
      <c r="G23" s="234">
        <f>SUM(G20:G22,G11,G9:G10)</f>
        <v>93481.924706400008</v>
      </c>
      <c r="H23" s="234">
        <f>SUM(H20:H22,H11,H9:H10)</f>
        <v>220491.41992546205</v>
      </c>
      <c r="I23" s="235">
        <f t="shared" si="0"/>
        <v>387417.92883586208</v>
      </c>
      <c r="J23" s="15"/>
      <c r="K23" s="190"/>
      <c r="L23" s="15"/>
      <c r="M23" s="35"/>
      <c r="N23" s="35"/>
      <c r="O23" s="35"/>
      <c r="P23" s="35"/>
      <c r="Q23" s="35"/>
      <c r="R23" s="35"/>
      <c r="S23" s="65"/>
      <c r="T23" s="65"/>
      <c r="U23" s="35"/>
      <c r="V23" s="35"/>
      <c r="W23" s="35"/>
      <c r="X23" s="194"/>
    </row>
    <row r="24" spans="1:24" ht="15.75" thickTop="1">
      <c r="A24" s="190"/>
      <c r="B24" s="236"/>
      <c r="C24" s="237"/>
      <c r="D24" s="238"/>
      <c r="E24" s="239"/>
      <c r="F24" s="239"/>
      <c r="G24" s="239"/>
      <c r="H24" s="239"/>
      <c r="I24" s="240"/>
      <c r="J24" s="15"/>
      <c r="K24" s="190"/>
      <c r="L24" s="15"/>
      <c r="M24" s="35"/>
      <c r="N24" s="35"/>
      <c r="O24" s="35"/>
      <c r="P24" s="35"/>
      <c r="Q24" s="35"/>
      <c r="R24" s="35"/>
      <c r="S24" s="65"/>
      <c r="T24" s="65"/>
      <c r="U24" s="35"/>
      <c r="V24" s="35"/>
      <c r="W24" s="35"/>
      <c r="X24" s="194"/>
    </row>
    <row r="25" spans="1:24">
      <c r="A25" s="190"/>
      <c r="B25" s="201" t="s">
        <v>237</v>
      </c>
      <c r="C25" s="202"/>
      <c r="D25" s="241"/>
      <c r="E25" s="241"/>
      <c r="F25" s="241"/>
      <c r="G25" s="241"/>
      <c r="H25" s="241"/>
      <c r="I25" s="242"/>
      <c r="J25" s="15"/>
      <c r="K25" s="190"/>
      <c r="L25" s="15"/>
      <c r="M25" s="35"/>
      <c r="N25" s="35"/>
      <c r="O25" s="35"/>
      <c r="P25" s="35"/>
      <c r="Q25" s="35"/>
      <c r="R25" s="35"/>
      <c r="S25" s="35"/>
      <c r="T25" s="35"/>
      <c r="U25" s="35"/>
      <c r="V25" s="35"/>
      <c r="W25" s="35"/>
      <c r="X25" s="194"/>
    </row>
    <row r="26" spans="1:24">
      <c r="A26" s="190"/>
      <c r="B26" s="206" t="s">
        <v>1389</v>
      </c>
      <c r="C26" s="207"/>
      <c r="D26" s="243">
        <v>9500</v>
      </c>
      <c r="E26" s="243">
        <v>11494.050000000001</v>
      </c>
      <c r="F26" s="243">
        <v>36343.979000000007</v>
      </c>
      <c r="G26" s="243">
        <v>68034.348515000005</v>
      </c>
      <c r="H26" s="243">
        <v>215767.30699655003</v>
      </c>
      <c r="I26" s="231">
        <f t="shared" ref="I26:I32" si="1">SUM(D26:H26)</f>
        <v>341139.68451155006</v>
      </c>
      <c r="J26" s="15"/>
      <c r="K26" s="190"/>
      <c r="L26" s="15"/>
      <c r="M26" s="35"/>
      <c r="N26" s="35"/>
      <c r="O26" s="35"/>
      <c r="P26" s="35"/>
      <c r="Q26" s="35"/>
      <c r="R26" s="35"/>
      <c r="S26" s="35"/>
      <c r="T26" s="35"/>
      <c r="U26" s="35"/>
      <c r="V26" s="35"/>
      <c r="W26" s="35"/>
      <c r="X26" s="194"/>
    </row>
    <row r="27" spans="1:24">
      <c r="A27" s="190"/>
      <c r="B27" s="206" t="s">
        <v>188</v>
      </c>
      <c r="C27" s="207"/>
      <c r="D27" s="243">
        <v>20000</v>
      </c>
      <c r="E27" s="243">
        <v>23980</v>
      </c>
      <c r="F27" s="243">
        <v>76038.400000000009</v>
      </c>
      <c r="G27" s="243">
        <v>142453.19000000003</v>
      </c>
      <c r="H27" s="243">
        <v>451706.11520000006</v>
      </c>
      <c r="I27" s="231">
        <f t="shared" si="1"/>
        <v>714177.70520000008</v>
      </c>
      <c r="J27" s="15"/>
      <c r="K27" s="190"/>
      <c r="L27" s="15"/>
      <c r="M27" s="35"/>
      <c r="N27" s="35"/>
      <c r="O27" s="35"/>
      <c r="P27" s="35"/>
      <c r="Q27" s="35"/>
      <c r="R27" s="35"/>
      <c r="S27" s="35"/>
      <c r="T27" s="35"/>
      <c r="U27" s="35"/>
      <c r="V27" s="35"/>
      <c r="W27" s="35"/>
      <c r="X27" s="194"/>
    </row>
    <row r="28" spans="1:24">
      <c r="A28" s="190"/>
      <c r="B28" s="206" t="s">
        <v>238</v>
      </c>
      <c r="C28" s="207"/>
      <c r="D28" s="243">
        <v>0</v>
      </c>
      <c r="E28" s="243">
        <v>0</v>
      </c>
      <c r="F28" s="243">
        <v>0</v>
      </c>
      <c r="G28" s="243">
        <v>0</v>
      </c>
      <c r="H28" s="243">
        <v>0</v>
      </c>
      <c r="I28" s="231">
        <f t="shared" si="1"/>
        <v>0</v>
      </c>
      <c r="J28" s="15"/>
      <c r="K28" s="190"/>
      <c r="L28" s="15"/>
      <c r="M28" s="35"/>
      <c r="N28" s="35"/>
      <c r="O28" s="35"/>
      <c r="P28" s="35"/>
      <c r="Q28" s="35"/>
      <c r="R28" s="35"/>
      <c r="S28" s="35"/>
      <c r="T28" s="35"/>
      <c r="U28" s="35"/>
      <c r="V28" s="35"/>
      <c r="W28" s="35"/>
      <c r="X28" s="194"/>
    </row>
    <row r="29" spans="1:24">
      <c r="A29" s="190"/>
      <c r="B29" s="244" t="s">
        <v>239</v>
      </c>
      <c r="C29" s="207"/>
      <c r="D29" s="243">
        <v>0</v>
      </c>
      <c r="E29" s="243">
        <v>0</v>
      </c>
      <c r="F29" s="243">
        <v>0</v>
      </c>
      <c r="G29" s="243">
        <v>0</v>
      </c>
      <c r="H29" s="243">
        <v>0</v>
      </c>
      <c r="I29" s="231">
        <f t="shared" si="1"/>
        <v>0</v>
      </c>
      <c r="J29" s="15"/>
      <c r="K29" s="190"/>
      <c r="L29" s="15"/>
      <c r="M29" s="35"/>
      <c r="N29" s="35"/>
      <c r="O29" s="35"/>
      <c r="P29" s="35"/>
      <c r="Q29" s="35"/>
      <c r="R29" s="35"/>
      <c r="S29" s="35"/>
      <c r="T29" s="35"/>
      <c r="U29" s="35"/>
      <c r="V29" s="35"/>
      <c r="W29" s="35"/>
      <c r="X29" s="194"/>
    </row>
    <row r="30" spans="1:24">
      <c r="A30" s="190"/>
      <c r="B30" s="245" t="s">
        <v>240</v>
      </c>
      <c r="C30" s="207"/>
      <c r="D30" s="243">
        <v>0</v>
      </c>
      <c r="E30" s="243">
        <v>0</v>
      </c>
      <c r="F30" s="243">
        <v>0</v>
      </c>
      <c r="G30" s="243">
        <v>0</v>
      </c>
      <c r="H30" s="243">
        <v>0</v>
      </c>
      <c r="I30" s="231"/>
      <c r="J30" s="15"/>
      <c r="K30" s="190"/>
      <c r="L30" s="15"/>
      <c r="M30" s="35"/>
      <c r="N30" s="35"/>
      <c r="O30" s="35"/>
      <c r="P30" s="35"/>
      <c r="Q30" s="35"/>
      <c r="R30" s="35"/>
      <c r="S30" s="35"/>
      <c r="T30" s="35"/>
      <c r="U30" s="35"/>
      <c r="V30" s="35"/>
      <c r="W30" s="35"/>
      <c r="X30" s="194"/>
    </row>
    <row r="31" spans="1:24">
      <c r="A31" s="190"/>
      <c r="B31" s="244" t="s">
        <v>234</v>
      </c>
      <c r="C31" s="207"/>
      <c r="D31" s="243">
        <v>198</v>
      </c>
      <c r="E31" s="243">
        <v>32.373000000000005</v>
      </c>
      <c r="F31" s="243">
        <v>35.286570000000005</v>
      </c>
      <c r="G31" s="243">
        <v>38.462361300000005</v>
      </c>
      <c r="H31" s="243">
        <v>41.923973817000004</v>
      </c>
      <c r="I31" s="231">
        <f t="shared" si="1"/>
        <v>346.04590511699996</v>
      </c>
      <c r="J31" s="15"/>
      <c r="K31" s="190"/>
      <c r="L31" s="15"/>
      <c r="M31" s="35"/>
      <c r="N31" s="35"/>
      <c r="O31" s="35"/>
      <c r="P31" s="35"/>
      <c r="Q31" s="35"/>
      <c r="R31" s="35"/>
      <c r="S31" s="35"/>
      <c r="T31" s="35"/>
      <c r="U31" s="35"/>
      <c r="V31" s="35"/>
      <c r="W31" s="35"/>
      <c r="X31" s="194"/>
    </row>
    <row r="32" spans="1:24" ht="15.75" thickBot="1">
      <c r="A32" s="190"/>
      <c r="B32" s="232" t="s">
        <v>241</v>
      </c>
      <c r="C32" s="233"/>
      <c r="D32" s="246">
        <f>SUM(D26:D31)</f>
        <v>29698</v>
      </c>
      <c r="E32" s="246">
        <f>SUM(E26:E31)</f>
        <v>35506.423000000003</v>
      </c>
      <c r="F32" s="246">
        <f>SUM(F26:F31)</f>
        <v>112417.66557000001</v>
      </c>
      <c r="G32" s="246">
        <f>SUM(G26:G31)</f>
        <v>210526.00087630001</v>
      </c>
      <c r="H32" s="247">
        <f>SUM(H26:H31)</f>
        <v>667515.34617036709</v>
      </c>
      <c r="I32" s="235">
        <f t="shared" si="1"/>
        <v>1055663.4356166671</v>
      </c>
      <c r="J32" s="15"/>
      <c r="K32" s="190"/>
      <c r="L32" s="15"/>
      <c r="M32" s="35"/>
      <c r="N32" s="35"/>
      <c r="O32" s="35"/>
      <c r="P32" s="35"/>
      <c r="Q32" s="35"/>
      <c r="R32" s="35"/>
      <c r="S32" s="35"/>
      <c r="T32" s="35"/>
      <c r="U32" s="35"/>
      <c r="V32" s="35"/>
      <c r="W32" s="35"/>
      <c r="X32" s="194"/>
    </row>
    <row r="33" spans="1:24" ht="15.75" thickTop="1">
      <c r="A33" s="190"/>
      <c r="B33" s="248"/>
      <c r="C33" s="249"/>
      <c r="D33" s="250"/>
      <c r="E33" s="250"/>
      <c r="F33" s="250"/>
      <c r="G33" s="250"/>
      <c r="H33" s="250"/>
      <c r="I33" s="251"/>
      <c r="J33" s="15"/>
      <c r="K33" s="190"/>
      <c r="L33" s="15"/>
      <c r="M33" s="35"/>
      <c r="N33" s="35"/>
      <c r="O33" s="35"/>
      <c r="P33" s="35"/>
      <c r="Q33" s="35"/>
      <c r="R33" s="35"/>
      <c r="S33" s="35"/>
      <c r="T33" s="35"/>
      <c r="U33" s="35"/>
      <c r="V33" s="35"/>
      <c r="W33" s="35"/>
      <c r="X33" s="194"/>
    </row>
    <row r="34" spans="1:24" ht="16.5" thickBot="1">
      <c r="A34" s="190"/>
      <c r="B34" s="252" t="s">
        <v>221</v>
      </c>
      <c r="C34" s="253"/>
      <c r="D34" s="254">
        <f>D23+D32</f>
        <v>40280.199999999997</v>
      </c>
      <c r="E34" s="254">
        <f>E23+E32</f>
        <v>53440.091800000002</v>
      </c>
      <c r="F34" s="254">
        <f>F23+F32</f>
        <v>157346.38097400003</v>
      </c>
      <c r="G34" s="254">
        <f>G23+G32</f>
        <v>304007.9255827</v>
      </c>
      <c r="H34" s="254">
        <f>H23+H32</f>
        <v>888006.7660958292</v>
      </c>
      <c r="I34" s="255">
        <f>SUM(D34:H34)</f>
        <v>1443081.3644525292</v>
      </c>
      <c r="J34" s="15"/>
      <c r="K34" s="190"/>
      <c r="L34" s="15"/>
      <c r="M34" s="35"/>
      <c r="N34" s="35"/>
      <c r="O34" s="35"/>
      <c r="P34" s="35"/>
      <c r="Q34" s="35"/>
      <c r="R34" s="35"/>
      <c r="S34" s="35"/>
      <c r="T34" s="35"/>
      <c r="U34" s="35"/>
      <c r="V34" s="35"/>
      <c r="W34" s="35"/>
      <c r="X34" s="194"/>
    </row>
    <row r="35" spans="1:24">
      <c r="A35" s="190"/>
      <c r="B35" s="15"/>
      <c r="C35" s="15"/>
      <c r="D35" s="193"/>
      <c r="E35" s="193"/>
      <c r="F35" s="193"/>
      <c r="G35" s="193"/>
      <c r="H35" s="193"/>
      <c r="I35" s="193"/>
      <c r="J35" s="15"/>
      <c r="K35" s="190"/>
      <c r="L35" s="15"/>
      <c r="M35" s="35"/>
      <c r="N35" s="35"/>
      <c r="O35" s="35"/>
      <c r="P35" s="35"/>
      <c r="Q35" s="35"/>
      <c r="R35" s="35"/>
      <c r="S35" s="35"/>
      <c r="T35" s="35"/>
      <c r="U35" s="35"/>
      <c r="V35" s="35"/>
      <c r="W35" s="35"/>
      <c r="X35" s="194"/>
    </row>
    <row r="36" spans="1:24" ht="15.75">
      <c r="A36" s="190"/>
      <c r="B36" s="256" t="s">
        <v>242</v>
      </c>
      <c r="C36" s="257"/>
      <c r="D36" s="258">
        <v>0.201401</v>
      </c>
      <c r="E36" s="258">
        <v>0.1336002295</v>
      </c>
      <c r="F36" s="258">
        <v>0.15734638097400003</v>
      </c>
      <c r="G36" s="258">
        <v>0.15200396279135001</v>
      </c>
      <c r="H36" s="259">
        <v>0.17760135321916584</v>
      </c>
      <c r="I36" s="193"/>
      <c r="J36" s="15"/>
      <c r="K36" s="190"/>
      <c r="L36" s="15"/>
      <c r="M36" s="35"/>
      <c r="N36" s="35"/>
      <c r="O36" s="35"/>
      <c r="P36" s="35"/>
      <c r="Q36" s="35"/>
      <c r="R36" s="35"/>
      <c r="S36" s="35"/>
      <c r="T36" s="35"/>
      <c r="U36" s="35"/>
      <c r="V36" s="35"/>
      <c r="W36" s="35"/>
      <c r="X36" s="194"/>
    </row>
    <row r="37" spans="1:24">
      <c r="A37" s="190"/>
      <c r="B37" s="15"/>
      <c r="C37" s="15"/>
      <c r="D37" s="193"/>
      <c r="E37" s="193"/>
      <c r="F37" s="193"/>
      <c r="G37" s="193"/>
      <c r="H37" s="193"/>
      <c r="I37" s="193"/>
      <c r="J37" s="15"/>
      <c r="K37" s="190"/>
      <c r="L37" s="15"/>
      <c r="M37" s="35"/>
      <c r="N37" s="35"/>
      <c r="O37" s="35"/>
      <c r="P37" s="35"/>
      <c r="Q37" s="35"/>
      <c r="R37" s="35"/>
      <c r="S37" s="35"/>
      <c r="T37" s="35"/>
      <c r="U37" s="35"/>
      <c r="V37" s="35"/>
      <c r="W37" s="35"/>
      <c r="X37" s="194"/>
    </row>
    <row r="38" spans="1:24" ht="18.75">
      <c r="A38" s="190"/>
      <c r="B38" s="191" t="s">
        <v>243</v>
      </c>
      <c r="C38" s="192"/>
      <c r="D38" s="193"/>
      <c r="E38" s="193"/>
      <c r="F38" s="193"/>
      <c r="G38" s="193"/>
      <c r="H38" s="193"/>
      <c r="I38" s="193"/>
      <c r="J38" s="15"/>
      <c r="K38" s="15"/>
      <c r="L38" s="15"/>
      <c r="M38" s="35"/>
      <c r="N38" s="35"/>
      <c r="O38" s="35"/>
      <c r="P38" s="35"/>
      <c r="Q38" s="35"/>
      <c r="R38" s="35"/>
      <c r="S38" s="35"/>
      <c r="T38" s="35"/>
      <c r="U38" s="35"/>
      <c r="V38" s="35"/>
      <c r="W38" s="35"/>
      <c r="X38" s="194"/>
    </row>
    <row r="39" spans="1:24" ht="15.75" thickBot="1">
      <c r="A39" s="190"/>
      <c r="B39" s="15"/>
      <c r="C39" s="15"/>
      <c r="D39" s="193"/>
      <c r="E39" s="193"/>
      <c r="F39" s="193"/>
      <c r="G39" s="193"/>
      <c r="H39" s="193"/>
      <c r="I39" s="193"/>
      <c r="J39" s="15"/>
      <c r="K39" s="15"/>
      <c r="L39" s="15"/>
      <c r="M39" s="35"/>
      <c r="N39" s="35"/>
      <c r="O39" s="35"/>
      <c r="P39" s="35"/>
      <c r="Q39" s="35"/>
      <c r="R39" s="35"/>
      <c r="S39" s="35"/>
      <c r="T39" s="35"/>
      <c r="U39" s="35"/>
      <c r="V39" s="35"/>
      <c r="W39" s="35"/>
      <c r="X39" s="194"/>
    </row>
    <row r="40" spans="1:24" ht="30" customHeight="1">
      <c r="A40" s="190"/>
      <c r="B40" s="1077" t="s">
        <v>244</v>
      </c>
      <c r="C40" s="1078"/>
      <c r="D40" s="199" t="str">
        <f>D7</f>
        <v>Year 1</v>
      </c>
      <c r="E40" s="199" t="str">
        <f>E7</f>
        <v>Year 2</v>
      </c>
      <c r="F40" s="199" t="str">
        <f>F7</f>
        <v>Year 3</v>
      </c>
      <c r="G40" s="199" t="str">
        <f>G7</f>
        <v>Year 4</v>
      </c>
      <c r="H40" s="199" t="str">
        <f>H7</f>
        <v>Year 5</v>
      </c>
      <c r="I40" s="260" t="s">
        <v>245</v>
      </c>
      <c r="J40" s="260" t="s">
        <v>143</v>
      </c>
      <c r="K40" s="15"/>
      <c r="L40" s="15"/>
      <c r="M40" s="35"/>
      <c r="N40" s="35"/>
      <c r="O40" s="35"/>
      <c r="P40" s="35"/>
      <c r="Q40" s="35"/>
      <c r="R40" s="35"/>
      <c r="S40" s="35"/>
      <c r="T40" s="35"/>
      <c r="U40" s="35"/>
      <c r="V40" s="35"/>
      <c r="W40" s="35"/>
      <c r="X40" s="194"/>
    </row>
    <row r="41" spans="1:24">
      <c r="A41" s="190"/>
      <c r="B41" s="261" t="str">
        <f>B9</f>
        <v>FLW - Data plans and add. salaries</v>
      </c>
      <c r="C41" s="262"/>
      <c r="D41" s="230">
        <v>12</v>
      </c>
      <c r="E41" s="230">
        <v>13.080000000000002</v>
      </c>
      <c r="F41" s="230">
        <v>14.257200000000001</v>
      </c>
      <c r="G41" s="230">
        <v>15.540348000000002</v>
      </c>
      <c r="H41" s="263">
        <v>16.938979320000001</v>
      </c>
      <c r="I41" s="231">
        <f t="shared" ref="I41:I46" si="2">AVERAGE(D41:H41)</f>
        <v>14.363305464000002</v>
      </c>
      <c r="J41" s="264">
        <f t="shared" ref="J41:J46" si="3">I41/$I$48</f>
        <v>4.3686520849289111E-2</v>
      </c>
      <c r="K41" s="15"/>
      <c r="L41" s="15"/>
      <c r="M41" s="35"/>
      <c r="N41" s="35"/>
      <c r="O41" s="35"/>
      <c r="P41" s="35"/>
      <c r="Q41" s="35"/>
      <c r="R41" s="35"/>
      <c r="S41" s="35"/>
      <c r="T41" s="35"/>
      <c r="U41" s="35"/>
      <c r="V41" s="35"/>
      <c r="W41" s="35"/>
      <c r="X41" s="194"/>
    </row>
    <row r="42" spans="1:24">
      <c r="A42" s="190"/>
      <c r="B42" s="265" t="str">
        <f>B10</f>
        <v>Staff &amp; Management - Data plan and salaries</v>
      </c>
      <c r="C42" s="266"/>
      <c r="D42" s="267">
        <v>24.192000000000004</v>
      </c>
      <c r="E42" s="267">
        <v>26.369280000000003</v>
      </c>
      <c r="F42" s="267">
        <v>28.742515200000007</v>
      </c>
      <c r="G42" s="267">
        <v>31.329341568000004</v>
      </c>
      <c r="H42" s="268">
        <v>34.148982309120008</v>
      </c>
      <c r="I42" s="231">
        <f t="shared" si="2"/>
        <v>28.956423815424007</v>
      </c>
      <c r="J42" s="264">
        <f t="shared" si="3"/>
        <v>8.8072026032166864E-2</v>
      </c>
      <c r="K42" s="15"/>
      <c r="L42" s="15"/>
      <c r="M42" s="35"/>
      <c r="N42" s="35"/>
      <c r="O42" s="35"/>
      <c r="P42" s="35"/>
      <c r="Q42" s="35"/>
      <c r="R42" s="35"/>
      <c r="S42" s="35"/>
      <c r="T42" s="35"/>
      <c r="U42" s="35"/>
      <c r="V42" s="35"/>
      <c r="W42" s="35"/>
      <c r="X42" s="194"/>
    </row>
    <row r="43" spans="1:24">
      <c r="A43" s="190"/>
      <c r="B43" s="265" t="str">
        <f>B11</f>
        <v>Trainings</v>
      </c>
      <c r="C43" s="266"/>
      <c r="D43" s="267">
        <v>24.39</v>
      </c>
      <c r="E43" s="267">
        <v>18.584064000000001</v>
      </c>
      <c r="F43" s="267">
        <v>22.000855608000006</v>
      </c>
      <c r="G43" s="267">
        <v>22.079726438400005</v>
      </c>
      <c r="H43" s="267">
        <v>26.139216547864805</v>
      </c>
      <c r="I43" s="231">
        <f t="shared" si="2"/>
        <v>22.638772518852964</v>
      </c>
      <c r="J43" s="264">
        <f t="shared" si="3"/>
        <v>6.8856657691088105E-2</v>
      </c>
      <c r="K43" s="15"/>
      <c r="L43" s="15"/>
      <c r="M43" s="35"/>
      <c r="N43" s="35"/>
      <c r="O43" s="35"/>
      <c r="P43" s="35"/>
      <c r="Q43" s="35"/>
      <c r="R43" s="35"/>
      <c r="S43" s="35"/>
      <c r="T43" s="35"/>
      <c r="U43" s="35"/>
      <c r="V43" s="35"/>
      <c r="W43" s="35"/>
      <c r="X43" s="194"/>
    </row>
    <row r="44" spans="1:24">
      <c r="A44" s="190"/>
      <c r="B44" s="265" t="str">
        <f>B32</f>
        <v>Total Capital / Equipment</v>
      </c>
      <c r="C44" s="266"/>
      <c r="D44" s="267">
        <v>296.98</v>
      </c>
      <c r="E44" s="267">
        <v>177.532115</v>
      </c>
      <c r="F44" s="267">
        <v>224.83533114000002</v>
      </c>
      <c r="G44" s="267">
        <v>210.5260008763</v>
      </c>
      <c r="H44" s="268">
        <v>267.00613846814684</v>
      </c>
      <c r="I44" s="231">
        <f t="shared" si="2"/>
        <v>235.37591709688937</v>
      </c>
      <c r="J44" s="264">
        <f t="shared" si="3"/>
        <v>0.7159044925589283</v>
      </c>
      <c r="K44" s="15"/>
      <c r="L44" s="15"/>
      <c r="M44" s="35"/>
      <c r="N44" s="35"/>
      <c r="O44" s="35"/>
      <c r="P44" s="35"/>
      <c r="Q44" s="35"/>
      <c r="R44" s="35"/>
      <c r="S44" s="35"/>
      <c r="T44" s="35"/>
      <c r="U44" s="35"/>
      <c r="V44" s="35"/>
      <c r="W44" s="35"/>
      <c r="X44" s="194"/>
    </row>
    <row r="45" spans="1:24">
      <c r="A45" s="190"/>
      <c r="B45" s="265" t="str">
        <f>B20</f>
        <v>Office expenses</v>
      </c>
      <c r="C45" s="266"/>
      <c r="D45" s="267">
        <v>3</v>
      </c>
      <c r="E45" s="267">
        <v>1.635</v>
      </c>
      <c r="F45" s="267">
        <v>0.71286000000000016</v>
      </c>
      <c r="G45" s="267">
        <v>0.3885087000000001</v>
      </c>
      <c r="H45" s="268">
        <v>0.16938979320000003</v>
      </c>
      <c r="I45" s="231">
        <f t="shared" si="2"/>
        <v>1.1811516986399999</v>
      </c>
      <c r="J45" s="264">
        <f t="shared" si="3"/>
        <v>3.5925162517875977E-3</v>
      </c>
      <c r="K45" s="15"/>
      <c r="L45" s="15"/>
      <c r="M45" s="35"/>
      <c r="N45" s="35"/>
      <c r="O45" s="35"/>
      <c r="P45" s="35"/>
      <c r="Q45" s="35"/>
      <c r="R45" s="35"/>
      <c r="S45" s="35"/>
      <c r="T45" s="35"/>
      <c r="U45" s="35"/>
      <c r="V45" s="35"/>
      <c r="W45" s="35"/>
      <c r="X45" s="194"/>
    </row>
    <row r="46" spans="1:24">
      <c r="A46" s="190"/>
      <c r="B46" s="265" t="str">
        <f>B21</f>
        <v>Dimagi - CommCare hosting fees</v>
      </c>
      <c r="C46" s="266"/>
      <c r="D46" s="267">
        <v>42.24</v>
      </c>
      <c r="E46" s="267">
        <v>30</v>
      </c>
      <c r="F46" s="267">
        <v>24.143999999999998</v>
      </c>
      <c r="G46" s="267">
        <v>24.143999999999998</v>
      </c>
      <c r="H46" s="268">
        <v>10.8</v>
      </c>
      <c r="I46" s="231">
        <f t="shared" si="2"/>
        <v>26.265600000000006</v>
      </c>
      <c r="J46" s="264">
        <f t="shared" si="3"/>
        <v>7.9887786616740036E-2</v>
      </c>
      <c r="K46" s="15"/>
      <c r="L46" s="15"/>
      <c r="M46" s="35"/>
      <c r="N46" s="35"/>
      <c r="O46" s="35"/>
      <c r="P46" s="35"/>
      <c r="Q46" s="35"/>
      <c r="R46" s="35"/>
      <c r="S46" s="35"/>
      <c r="T46" s="35"/>
      <c r="U46" s="35"/>
      <c r="V46" s="35"/>
      <c r="W46" s="35"/>
      <c r="X46" s="194"/>
    </row>
    <row r="47" spans="1:24">
      <c r="A47" s="190"/>
      <c r="B47" s="265"/>
      <c r="C47" s="266"/>
      <c r="D47" s="267"/>
      <c r="E47" s="267"/>
      <c r="F47" s="267"/>
      <c r="G47" s="267"/>
      <c r="H47" s="268"/>
      <c r="I47" s="231"/>
      <c r="J47" s="264"/>
      <c r="K47" s="15"/>
      <c r="L47" s="15"/>
      <c r="M47" s="35"/>
      <c r="N47" s="35"/>
      <c r="O47" s="35"/>
      <c r="P47" s="35"/>
      <c r="Q47" s="35"/>
      <c r="R47" s="35"/>
      <c r="S47" s="35"/>
      <c r="T47" s="35"/>
      <c r="U47" s="35"/>
      <c r="V47" s="35"/>
      <c r="W47" s="35"/>
      <c r="X47" s="194"/>
    </row>
    <row r="48" spans="1:24" ht="16.5" thickBot="1">
      <c r="A48" s="190"/>
      <c r="B48" s="252" t="s">
        <v>246</v>
      </c>
      <c r="C48" s="253"/>
      <c r="D48" s="269">
        <f>SUM(D41:D47)</f>
        <v>402.80200000000002</v>
      </c>
      <c r="E48" s="269">
        <f>SUM(E41:E47)</f>
        <v>267.20045900000002</v>
      </c>
      <c r="F48" s="269">
        <f>SUM(F41:F47)</f>
        <v>314.692761948</v>
      </c>
      <c r="G48" s="269">
        <f>SUM(G41:G47)</f>
        <v>304.00792558270001</v>
      </c>
      <c r="H48" s="270">
        <f>SUM(H41:H47)</f>
        <v>355.20270643833169</v>
      </c>
      <c r="I48" s="271">
        <f>AVERAGE(C48:H48)</f>
        <v>328.78117059380634</v>
      </c>
      <c r="J48" s="272">
        <f>I48/$I$48</f>
        <v>1</v>
      </c>
      <c r="K48" s="15"/>
      <c r="L48" s="15"/>
      <c r="M48" s="35"/>
      <c r="N48" s="35"/>
      <c r="O48" s="35"/>
      <c r="P48" s="35"/>
      <c r="Q48" s="35"/>
      <c r="R48" s="35"/>
      <c r="S48" s="35"/>
      <c r="T48" s="35"/>
      <c r="U48" s="35"/>
      <c r="V48" s="35"/>
      <c r="W48" s="35"/>
      <c r="X48" s="194"/>
    </row>
    <row r="49" spans="1:24">
      <c r="A49" s="190"/>
      <c r="B49" s="15"/>
      <c r="C49" s="15"/>
      <c r="D49" s="193"/>
      <c r="E49" s="193"/>
      <c r="F49" s="193"/>
      <c r="G49" s="193"/>
      <c r="H49" s="193"/>
      <c r="I49" s="193"/>
      <c r="J49" s="190"/>
      <c r="K49" s="15"/>
      <c r="L49" s="15"/>
      <c r="M49" s="35"/>
      <c r="N49" s="35"/>
      <c r="O49" s="35"/>
      <c r="P49" s="35"/>
      <c r="Q49" s="35"/>
      <c r="R49" s="35"/>
      <c r="S49" s="273"/>
      <c r="T49" s="273"/>
      <c r="U49" s="35"/>
      <c r="V49" s="35"/>
      <c r="W49" s="35"/>
      <c r="X49" s="194"/>
    </row>
    <row r="50" spans="1:24" ht="16.5" thickBot="1">
      <c r="A50" s="190"/>
      <c r="B50" s="15"/>
      <c r="C50" s="15"/>
      <c r="D50" s="1079" t="s">
        <v>247</v>
      </c>
      <c r="E50" s="1080"/>
      <c r="F50" s="1080"/>
      <c r="G50" s="1080"/>
      <c r="H50" s="1081"/>
      <c r="I50" s="271">
        <f>I48</f>
        <v>328.78117059380634</v>
      </c>
      <c r="J50" s="15"/>
      <c r="K50" s="15"/>
      <c r="L50" s="15"/>
      <c r="M50" s="35"/>
      <c r="N50" s="35"/>
      <c r="O50" s="35"/>
      <c r="P50" s="35"/>
      <c r="Q50" s="35"/>
      <c r="R50" s="35"/>
      <c r="S50" s="35"/>
      <c r="T50" s="35"/>
      <c r="U50" s="35"/>
      <c r="V50" s="35"/>
      <c r="W50" s="35"/>
      <c r="X50" s="194"/>
    </row>
    <row r="51" spans="1:24" ht="15.75" thickTop="1">
      <c r="A51" s="177"/>
      <c r="B51" s="20"/>
      <c r="C51" s="20"/>
      <c r="D51" s="178"/>
      <c r="E51" s="178"/>
      <c r="F51" s="178"/>
      <c r="G51" s="178"/>
      <c r="H51" s="178"/>
      <c r="I51" s="178"/>
      <c r="J51" s="177"/>
      <c r="K51" s="20"/>
      <c r="L51" s="20"/>
      <c r="M51" s="56"/>
      <c r="N51" s="56"/>
      <c r="O51" s="56"/>
      <c r="P51" s="56"/>
      <c r="Q51" s="56"/>
      <c r="R51" s="56"/>
      <c r="S51" s="35"/>
      <c r="T51" s="35"/>
      <c r="U51" s="56"/>
      <c r="V51" s="56"/>
      <c r="W51" s="56"/>
      <c r="X51" s="274"/>
    </row>
    <row r="52" spans="1:24">
      <c r="A52" s="190"/>
      <c r="B52" s="15"/>
      <c r="C52" s="15"/>
      <c r="D52" s="193"/>
      <c r="E52" s="193"/>
      <c r="F52" s="193"/>
      <c r="G52" s="193"/>
      <c r="H52" s="193"/>
      <c r="I52" s="193"/>
      <c r="J52" s="190"/>
      <c r="K52" s="15"/>
      <c r="L52" s="15"/>
      <c r="M52" s="35"/>
      <c r="N52" s="35"/>
      <c r="O52" s="35"/>
      <c r="P52" s="35"/>
      <c r="Q52" s="35"/>
      <c r="R52" s="35"/>
      <c r="S52" s="35"/>
      <c r="T52" s="35"/>
      <c r="U52" s="35"/>
      <c r="V52" s="35"/>
      <c r="W52" s="35"/>
      <c r="X52" s="194"/>
    </row>
    <row r="53" spans="1:24" ht="15.75" thickBot="1">
      <c r="A53" s="275"/>
      <c r="B53" s="276"/>
      <c r="C53" s="276"/>
      <c r="D53" s="277"/>
      <c r="E53" s="277"/>
      <c r="F53" s="277"/>
      <c r="G53" s="277"/>
      <c r="H53" s="277"/>
      <c r="I53" s="277"/>
      <c r="J53" s="275"/>
      <c r="K53" s="275"/>
      <c r="L53" s="275"/>
      <c r="M53" s="278"/>
      <c r="N53" s="278"/>
      <c r="O53" s="278"/>
      <c r="P53" s="278"/>
      <c r="Q53" s="278"/>
      <c r="R53" s="278"/>
      <c r="S53" s="279"/>
      <c r="T53" s="279"/>
      <c r="U53" s="279"/>
      <c r="V53" s="279"/>
      <c r="W53" s="279"/>
      <c r="X53" s="280"/>
    </row>
    <row r="55" spans="1:24" ht="18.75" hidden="1">
      <c r="A55" s="190"/>
      <c r="B55" s="191" t="s">
        <v>248</v>
      </c>
      <c r="C55" s="192"/>
      <c r="D55" s="193"/>
      <c r="E55" s="193"/>
      <c r="F55" s="193"/>
      <c r="G55" s="193"/>
      <c r="H55" s="193"/>
      <c r="I55" s="193"/>
      <c r="J55" s="15"/>
      <c r="K55" s="190"/>
      <c r="L55" s="15"/>
      <c r="M55" s="15"/>
      <c r="N55" s="15"/>
      <c r="O55" s="15"/>
      <c r="P55" s="15"/>
      <c r="Q55" s="15"/>
      <c r="R55" s="15"/>
      <c r="S55" s="15"/>
      <c r="T55" s="15"/>
      <c r="U55" s="15"/>
      <c r="V55" s="15"/>
      <c r="W55" s="15"/>
      <c r="X55" s="281"/>
    </row>
    <row r="56" spans="1:24" hidden="1"/>
    <row r="57" spans="1:24" hidden="1">
      <c r="B57" s="197" t="s">
        <v>220</v>
      </c>
      <c r="C57" s="198"/>
      <c r="D57" s="199" t="str">
        <f>D7</f>
        <v>Year 1</v>
      </c>
      <c r="E57" s="199" t="str">
        <f>E7</f>
        <v>Year 2</v>
      </c>
      <c r="F57" s="199" t="str">
        <f>F7</f>
        <v>Year 3</v>
      </c>
      <c r="G57" s="199" t="str">
        <f>G7</f>
        <v>Year 4</v>
      </c>
      <c r="H57" s="199" t="str">
        <f>H7</f>
        <v>Year 5</v>
      </c>
      <c r="I57" s="200" t="s">
        <v>221</v>
      </c>
    </row>
    <row r="58" spans="1:24" hidden="1">
      <c r="B58" s="201" t="s">
        <v>222</v>
      </c>
      <c r="C58" s="202"/>
      <c r="D58" s="203"/>
      <c r="E58" s="203"/>
      <c r="F58" s="203"/>
      <c r="G58" s="203"/>
      <c r="H58" s="204"/>
      <c r="I58" s="205"/>
    </row>
    <row r="59" spans="1:24" hidden="1">
      <c r="B59" s="206" t="s">
        <v>249</v>
      </c>
      <c r="C59" s="207"/>
      <c r="D59" s="267">
        <v>100.60000000000001</v>
      </c>
      <c r="E59" s="267">
        <v>201.20000000000002</v>
      </c>
      <c r="F59" s="267">
        <v>503</v>
      </c>
      <c r="G59" s="267">
        <v>1006</v>
      </c>
      <c r="H59" s="267">
        <v>2515</v>
      </c>
      <c r="I59" s="231">
        <f t="shared" ref="I59:I64" si="4">SUM(D59:H59)</f>
        <v>4325.8</v>
      </c>
    </row>
    <row r="60" spans="1:24" hidden="1">
      <c r="B60" s="206" t="s">
        <v>250</v>
      </c>
      <c r="C60" s="210"/>
      <c r="D60" s="243">
        <f>D9+D10-D59</f>
        <v>3518.6000000000004</v>
      </c>
      <c r="E60" s="243">
        <f>E9+E10-E59</f>
        <v>7688.6560000000018</v>
      </c>
      <c r="F60" s="243">
        <f>F9+F10-F59</f>
        <v>20996.857600000003</v>
      </c>
      <c r="G60" s="243">
        <f>G9+G10-G59</f>
        <v>45863.689568000002</v>
      </c>
      <c r="H60" s="243">
        <f>H9+H10-H59</f>
        <v>125204.90407280003</v>
      </c>
      <c r="I60" s="231">
        <f t="shared" si="4"/>
        <v>203272.70724080002</v>
      </c>
    </row>
    <row r="61" spans="1:24" hidden="1">
      <c r="B61" s="212" t="s">
        <v>225</v>
      </c>
      <c r="C61" s="213"/>
      <c r="D61" s="230">
        <f t="shared" ref="D61:H71" si="5">D11</f>
        <v>2439</v>
      </c>
      <c r="E61" s="230">
        <f t="shared" si="5"/>
        <v>3716.8128000000006</v>
      </c>
      <c r="F61" s="230">
        <f t="shared" si="5"/>
        <v>11000.427804000003</v>
      </c>
      <c r="G61" s="230">
        <f t="shared" si="5"/>
        <v>22079.726438400005</v>
      </c>
      <c r="H61" s="230">
        <f t="shared" si="5"/>
        <v>65348.041369662009</v>
      </c>
      <c r="I61" s="283">
        <f t="shared" si="4"/>
        <v>104584.00841206202</v>
      </c>
    </row>
    <row r="62" spans="1:24" hidden="1">
      <c r="B62" s="216" t="s">
        <v>226</v>
      </c>
      <c r="C62" s="217"/>
      <c r="D62" s="230">
        <f t="shared" si="5"/>
        <v>800</v>
      </c>
      <c r="E62" s="230">
        <f t="shared" si="5"/>
        <v>1744.0000000000002</v>
      </c>
      <c r="F62" s="230">
        <f t="shared" si="5"/>
        <v>4752.4000000000005</v>
      </c>
      <c r="G62" s="230">
        <f t="shared" si="5"/>
        <v>10360.232000000002</v>
      </c>
      <c r="H62" s="230">
        <f t="shared" si="5"/>
        <v>28231.632200000004</v>
      </c>
      <c r="I62" s="219">
        <f t="shared" si="4"/>
        <v>45888.264200000005</v>
      </c>
    </row>
    <row r="63" spans="1:24" hidden="1">
      <c r="B63" s="216" t="s">
        <v>227</v>
      </c>
      <c r="C63" s="217"/>
      <c r="D63" s="230">
        <f t="shared" si="5"/>
        <v>3</v>
      </c>
      <c r="E63" s="230">
        <f t="shared" si="5"/>
        <v>6.5400000000000009</v>
      </c>
      <c r="F63" s="230">
        <f t="shared" si="5"/>
        <v>17.821500000000004</v>
      </c>
      <c r="G63" s="230">
        <f t="shared" si="5"/>
        <v>38.850870000000008</v>
      </c>
      <c r="H63" s="230">
        <f t="shared" si="5"/>
        <v>105.86862075000002</v>
      </c>
      <c r="I63" s="219">
        <f t="shared" si="4"/>
        <v>172.08099075000004</v>
      </c>
    </row>
    <row r="64" spans="1:24" hidden="1">
      <c r="B64" s="216" t="s">
        <v>228</v>
      </c>
      <c r="C64" s="217"/>
      <c r="D64" s="230">
        <f t="shared" si="5"/>
        <v>4.8000000000000007</v>
      </c>
      <c r="E64" s="230">
        <f t="shared" si="5"/>
        <v>10.464000000000002</v>
      </c>
      <c r="F64" s="230">
        <f t="shared" si="5"/>
        <v>28.514400000000002</v>
      </c>
      <c r="G64" s="230">
        <f t="shared" si="5"/>
        <v>62.161392000000006</v>
      </c>
      <c r="H64" s="230">
        <f t="shared" si="5"/>
        <v>169.38979320000004</v>
      </c>
      <c r="I64" s="219">
        <f t="shared" si="4"/>
        <v>275.32958520000005</v>
      </c>
    </row>
    <row r="65" spans="2:9" hidden="1">
      <c r="B65" s="216" t="s">
        <v>229</v>
      </c>
      <c r="C65" s="217"/>
      <c r="D65" s="230">
        <f t="shared" si="5"/>
        <v>0</v>
      </c>
      <c r="E65" s="230">
        <f t="shared" si="5"/>
        <v>0</v>
      </c>
      <c r="F65" s="230">
        <f t="shared" si="5"/>
        <v>0</v>
      </c>
      <c r="G65" s="230">
        <f t="shared" si="5"/>
        <v>0</v>
      </c>
      <c r="H65" s="230">
        <f t="shared" si="5"/>
        <v>0</v>
      </c>
      <c r="I65" s="219"/>
    </row>
    <row r="66" spans="2:9" hidden="1">
      <c r="B66" s="216" t="s">
        <v>230</v>
      </c>
      <c r="C66" s="217"/>
      <c r="D66" s="230">
        <f t="shared" si="5"/>
        <v>1600</v>
      </c>
      <c r="E66" s="230">
        <f t="shared" si="5"/>
        <v>1918.4</v>
      </c>
      <c r="F66" s="230">
        <f t="shared" si="5"/>
        <v>6083.072000000001</v>
      </c>
      <c r="G66" s="230">
        <f t="shared" si="5"/>
        <v>11396.255200000001</v>
      </c>
      <c r="H66" s="230">
        <f t="shared" si="5"/>
        <v>36136.489216000009</v>
      </c>
      <c r="I66" s="219">
        <f t="shared" ref="I66:I73" si="6">SUM(D66:H66)</f>
        <v>57134.21641600001</v>
      </c>
    </row>
    <row r="67" spans="2:9" hidden="1">
      <c r="B67" s="216" t="s">
        <v>231</v>
      </c>
      <c r="C67" s="217"/>
      <c r="D67" s="230">
        <f t="shared" si="5"/>
        <v>12</v>
      </c>
      <c r="E67" s="230">
        <f t="shared" si="5"/>
        <v>14.388000000000002</v>
      </c>
      <c r="F67" s="230">
        <f t="shared" si="5"/>
        <v>45.623040000000003</v>
      </c>
      <c r="G67" s="230">
        <f t="shared" si="5"/>
        <v>85.471914000000012</v>
      </c>
      <c r="H67" s="230">
        <f t="shared" si="5"/>
        <v>271.02366912000002</v>
      </c>
      <c r="I67" s="219">
        <f t="shared" si="6"/>
        <v>428.50662312000003</v>
      </c>
    </row>
    <row r="68" spans="2:9" hidden="1">
      <c r="B68" s="216" t="s">
        <v>232</v>
      </c>
      <c r="C68" s="217"/>
      <c r="D68" s="230">
        <f t="shared" si="5"/>
        <v>19.200000000000003</v>
      </c>
      <c r="E68" s="230">
        <f t="shared" si="5"/>
        <v>23.020800000000008</v>
      </c>
      <c r="F68" s="230">
        <f t="shared" si="5"/>
        <v>72.996864000000002</v>
      </c>
      <c r="G68" s="230">
        <f t="shared" si="5"/>
        <v>136.75506240000004</v>
      </c>
      <c r="H68" s="230">
        <f t="shared" si="5"/>
        <v>433.63787059200013</v>
      </c>
      <c r="I68" s="219">
        <f t="shared" si="6"/>
        <v>685.61059699200018</v>
      </c>
    </row>
    <row r="69" spans="2:9" hidden="1">
      <c r="B69" s="284" t="s">
        <v>233</v>
      </c>
      <c r="C69" s="222"/>
      <c r="D69" s="230">
        <f t="shared" si="5"/>
        <v>0</v>
      </c>
      <c r="E69" s="230">
        <f t="shared" si="5"/>
        <v>0</v>
      </c>
      <c r="F69" s="230">
        <f t="shared" si="5"/>
        <v>0</v>
      </c>
      <c r="G69" s="230">
        <f t="shared" si="5"/>
        <v>0</v>
      </c>
      <c r="H69" s="230">
        <f t="shared" si="5"/>
        <v>0</v>
      </c>
      <c r="I69" s="224">
        <f t="shared" si="6"/>
        <v>0</v>
      </c>
    </row>
    <row r="70" spans="2:9" hidden="1">
      <c r="B70" s="225" t="s">
        <v>234</v>
      </c>
      <c r="C70" s="226"/>
      <c r="D70" s="230">
        <f t="shared" si="5"/>
        <v>300</v>
      </c>
      <c r="E70" s="230">
        <f t="shared" si="5"/>
        <v>327</v>
      </c>
      <c r="F70" s="230">
        <f t="shared" si="5"/>
        <v>356.43000000000006</v>
      </c>
      <c r="G70" s="230">
        <f t="shared" si="5"/>
        <v>388.50870000000009</v>
      </c>
      <c r="H70" s="230">
        <f t="shared" si="5"/>
        <v>423.47448300000008</v>
      </c>
      <c r="I70" s="219">
        <f t="shared" si="6"/>
        <v>1795.4131830000001</v>
      </c>
    </row>
    <row r="71" spans="2:9" hidden="1">
      <c r="B71" s="225" t="s">
        <v>235</v>
      </c>
      <c r="C71" s="226"/>
      <c r="D71" s="230">
        <f t="shared" si="5"/>
        <v>4224</v>
      </c>
      <c r="E71" s="230">
        <f t="shared" si="5"/>
        <v>6000</v>
      </c>
      <c r="F71" s="230">
        <f t="shared" si="5"/>
        <v>12072</v>
      </c>
      <c r="G71" s="230">
        <f t="shared" si="5"/>
        <v>24144</v>
      </c>
      <c r="H71" s="230">
        <f t="shared" si="5"/>
        <v>27000</v>
      </c>
      <c r="I71" s="224">
        <f t="shared" si="6"/>
        <v>73440</v>
      </c>
    </row>
    <row r="72" spans="2:9" hidden="1">
      <c r="B72" s="212"/>
      <c r="C72" s="213"/>
      <c r="D72" s="230"/>
      <c r="E72" s="230"/>
      <c r="F72" s="230"/>
      <c r="G72" s="230"/>
      <c r="H72" s="230"/>
      <c r="I72" s="231">
        <f t="shared" si="6"/>
        <v>0</v>
      </c>
    </row>
    <row r="73" spans="2:9" ht="15.75" hidden="1" thickBot="1">
      <c r="B73" s="232" t="s">
        <v>236</v>
      </c>
      <c r="C73" s="233"/>
      <c r="D73" s="234">
        <f>SUM(D70:D72,D61,D59:D60)</f>
        <v>10582.2</v>
      </c>
      <c r="E73" s="234">
        <f>SUM(E70:E72,E61,E59:E60)</f>
        <v>17933.668800000003</v>
      </c>
      <c r="F73" s="234">
        <f>SUM(F70:F72,F61,F59:F60)</f>
        <v>44928.715404000002</v>
      </c>
      <c r="G73" s="234">
        <f>SUM(G70:G72,G61,G59:G60)</f>
        <v>93481.924706400008</v>
      </c>
      <c r="H73" s="234">
        <f>SUM(H70:H72,H61,H59:H60)</f>
        <v>220491.41992546205</v>
      </c>
      <c r="I73" s="235">
        <f t="shared" si="6"/>
        <v>387417.92883586208</v>
      </c>
    </row>
    <row r="74" spans="2:9" ht="15.75" hidden="1" thickTop="1">
      <c r="B74" s="236"/>
      <c r="C74" s="237"/>
      <c r="D74" s="238"/>
      <c r="E74" s="239"/>
      <c r="F74" s="239"/>
      <c r="G74" s="239"/>
      <c r="H74" s="239"/>
      <c r="I74" s="240"/>
    </row>
    <row r="75" spans="2:9" hidden="1">
      <c r="B75" s="201" t="s">
        <v>237</v>
      </c>
      <c r="C75" s="202"/>
      <c r="D75" s="241"/>
      <c r="E75" s="241"/>
      <c r="F75" s="241"/>
      <c r="G75" s="241"/>
      <c r="H75" s="241"/>
      <c r="I75" s="242"/>
    </row>
    <row r="76" spans="2:9" hidden="1">
      <c r="B76" s="206" t="str">
        <f>B26</f>
        <v>Mobile Phones</v>
      </c>
      <c r="C76" s="207"/>
      <c r="D76" s="243">
        <f>D26</f>
        <v>9500</v>
      </c>
      <c r="E76" s="243">
        <f>E26</f>
        <v>11494.050000000001</v>
      </c>
      <c r="F76" s="243">
        <f>F26</f>
        <v>36343.979000000007</v>
      </c>
      <c r="G76" s="243">
        <f>G26</f>
        <v>68034.348515000005</v>
      </c>
      <c r="H76" s="243">
        <f>H26</f>
        <v>215767.30699655003</v>
      </c>
      <c r="I76" s="231">
        <f t="shared" ref="I76:I81" si="7">SUM(D76:H76)</f>
        <v>341139.68451155006</v>
      </c>
    </row>
    <row r="77" spans="2:9" hidden="1">
      <c r="B77" s="206" t="str">
        <f>B27</f>
        <v>Solar equipment for device charging</v>
      </c>
      <c r="C77" s="207"/>
      <c r="D77" s="243">
        <f t="shared" ref="D77:H79" si="8">D27</f>
        <v>20000</v>
      </c>
      <c r="E77" s="243">
        <f t="shared" si="8"/>
        <v>23980</v>
      </c>
      <c r="F77" s="243">
        <f t="shared" si="8"/>
        <v>76038.400000000009</v>
      </c>
      <c r="G77" s="243">
        <f t="shared" si="8"/>
        <v>142453.19000000003</v>
      </c>
      <c r="H77" s="243">
        <f t="shared" si="8"/>
        <v>451706.11520000006</v>
      </c>
      <c r="I77" s="231">
        <f t="shared" si="7"/>
        <v>714177.70520000008</v>
      </c>
    </row>
    <row r="78" spans="2:9" hidden="1">
      <c r="B78" s="206" t="str">
        <f>B28</f>
        <v>Netbooks for project manager</v>
      </c>
      <c r="C78" s="207"/>
      <c r="D78" s="243">
        <f t="shared" si="8"/>
        <v>0</v>
      </c>
      <c r="E78" s="243">
        <f t="shared" si="8"/>
        <v>0</v>
      </c>
      <c r="F78" s="243">
        <f t="shared" si="8"/>
        <v>0</v>
      </c>
      <c r="G78" s="243">
        <f t="shared" si="8"/>
        <v>0</v>
      </c>
      <c r="H78" s="243">
        <f t="shared" si="8"/>
        <v>0</v>
      </c>
      <c r="I78" s="231">
        <f t="shared" si="7"/>
        <v>0</v>
      </c>
    </row>
    <row r="79" spans="2:9" hidden="1">
      <c r="B79" s="206" t="str">
        <f>B29</f>
        <v>Netbooks for field staff</v>
      </c>
      <c r="C79" s="207"/>
      <c r="D79" s="243">
        <f t="shared" si="8"/>
        <v>0</v>
      </c>
      <c r="E79" s="243">
        <f t="shared" si="8"/>
        <v>0</v>
      </c>
      <c r="F79" s="243">
        <f t="shared" si="8"/>
        <v>0</v>
      </c>
      <c r="G79" s="243">
        <f t="shared" si="8"/>
        <v>0</v>
      </c>
      <c r="H79" s="243">
        <f t="shared" si="8"/>
        <v>0</v>
      </c>
      <c r="I79" s="231">
        <f t="shared" si="7"/>
        <v>0</v>
      </c>
    </row>
    <row r="80" spans="2:9" hidden="1">
      <c r="B80" s="206" t="str">
        <f>B31</f>
        <v>Office expenses</v>
      </c>
      <c r="C80" s="207"/>
      <c r="D80" s="243">
        <f>D31</f>
        <v>198</v>
      </c>
      <c r="E80" s="243">
        <f>E31</f>
        <v>32.373000000000005</v>
      </c>
      <c r="F80" s="243">
        <f>F31</f>
        <v>35.286570000000005</v>
      </c>
      <c r="G80" s="243">
        <f>G31</f>
        <v>38.462361300000005</v>
      </c>
      <c r="H80" s="243">
        <f>H31</f>
        <v>41.923973817000004</v>
      </c>
      <c r="I80" s="231">
        <f t="shared" si="7"/>
        <v>346.04590511699996</v>
      </c>
    </row>
    <row r="81" spans="2:9" ht="15.75" hidden="1" thickBot="1">
      <c r="B81" s="285" t="str">
        <f>B32</f>
        <v>Total Capital / Equipment</v>
      </c>
      <c r="C81" s="233"/>
      <c r="D81" s="246">
        <f>SUM(D76:D80)</f>
        <v>29698</v>
      </c>
      <c r="E81" s="246">
        <f>SUM(E76:E80)</f>
        <v>35506.423000000003</v>
      </c>
      <c r="F81" s="246">
        <f>SUM(F76:F80)</f>
        <v>112417.66557000001</v>
      </c>
      <c r="G81" s="246">
        <f>SUM(G76:G80)</f>
        <v>210526.00087630001</v>
      </c>
      <c r="H81" s="247">
        <f>SUM(H76:H80)</f>
        <v>667515.34617036709</v>
      </c>
      <c r="I81" s="235">
        <f t="shared" si="7"/>
        <v>1055663.4356166671</v>
      </c>
    </row>
    <row r="82" spans="2:9" hidden="1">
      <c r="B82" s="248"/>
      <c r="C82" s="249"/>
      <c r="D82" s="250"/>
      <c r="E82" s="250"/>
      <c r="F82" s="250"/>
      <c r="G82" s="250"/>
      <c r="H82" s="250"/>
      <c r="I82" s="251"/>
    </row>
    <row r="83" spans="2:9" ht="16.5" hidden="1" thickBot="1">
      <c r="B83" s="252" t="s">
        <v>221</v>
      </c>
      <c r="C83" s="253"/>
      <c r="D83" s="254">
        <f>D73+D81</f>
        <v>40280.199999999997</v>
      </c>
      <c r="E83" s="254">
        <f>E73+E81</f>
        <v>53440.091800000009</v>
      </c>
      <c r="F83" s="254">
        <f>F73+F81</f>
        <v>157346.38097400003</v>
      </c>
      <c r="G83" s="254">
        <f>G73+G81</f>
        <v>304007.9255827</v>
      </c>
      <c r="H83" s="254">
        <f>H73+H81</f>
        <v>888006.7660958292</v>
      </c>
      <c r="I83" s="255">
        <f>SUM(D83:H83)</f>
        <v>1443081.3644525292</v>
      </c>
    </row>
    <row r="84" spans="2:9" hidden="1">
      <c r="B84" s="15"/>
      <c r="C84" s="15"/>
      <c r="D84" s="193"/>
      <c r="E84" s="193"/>
      <c r="F84" s="193"/>
      <c r="G84" s="193"/>
      <c r="H84" s="193"/>
      <c r="I84" s="193"/>
    </row>
    <row r="85" spans="2:9" ht="15.75" hidden="1">
      <c r="B85" s="256" t="s">
        <v>242</v>
      </c>
      <c r="C85" s="257"/>
      <c r="D85" s="286">
        <v>0.201401</v>
      </c>
      <c r="E85" s="286">
        <v>0.13360022950000003</v>
      </c>
      <c r="F85" s="286">
        <v>0.15734638097400003</v>
      </c>
      <c r="G85" s="286">
        <v>0.15200396279135001</v>
      </c>
      <c r="H85" s="286">
        <v>0.17760135321916584</v>
      </c>
      <c r="I85" s="193"/>
    </row>
    <row r="86" spans="2:9" hidden="1"/>
  </sheetData>
  <mergeCells count="2">
    <mergeCell ref="B40:C40"/>
    <mergeCell ref="D50:H50"/>
  </mergeCells>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1228C-7866-41E6-B761-3E23B60F082A}">
  <sheetPr codeName="Sheet33"/>
  <dimension ref="B1:B28"/>
  <sheetViews>
    <sheetView zoomScaleNormal="100" workbookViewId="0">
      <selection activeCell="F24" sqref="F24"/>
    </sheetView>
  </sheetViews>
  <sheetFormatPr defaultColWidth="8.5703125" defaultRowHeight="15"/>
  <cols>
    <col min="1" max="1" width="1.42578125" style="315" customWidth="1"/>
    <col min="2" max="2" width="152.5703125" style="315" customWidth="1"/>
    <col min="3" max="16384" width="8.5703125" style="315"/>
  </cols>
  <sheetData>
    <row r="1" spans="2:2" ht="5.45" customHeight="1"/>
    <row r="2" spans="2:2">
      <c r="B2" s="429" t="s">
        <v>425</v>
      </c>
    </row>
    <row r="3" spans="2:2" ht="30">
      <c r="B3" s="428" t="s">
        <v>426</v>
      </c>
    </row>
    <row r="4" spans="2:2" ht="30">
      <c r="B4" s="431" t="s">
        <v>522</v>
      </c>
    </row>
    <row r="5" spans="2:2" ht="42.6" customHeight="1">
      <c r="B5" s="431" t="s">
        <v>523</v>
      </c>
    </row>
    <row r="6" spans="2:2">
      <c r="B6" s="426" t="s">
        <v>427</v>
      </c>
    </row>
    <row r="7" spans="2:2">
      <c r="B7" s="426" t="s">
        <v>497</v>
      </c>
    </row>
    <row r="8" spans="2:2">
      <c r="B8" s="426" t="s">
        <v>428</v>
      </c>
    </row>
    <row r="9" spans="2:2" ht="10.5" customHeight="1"/>
    <row r="10" spans="2:2">
      <c r="B10" s="438" t="s">
        <v>528</v>
      </c>
    </row>
    <row r="11" spans="2:2">
      <c r="B11" s="439" t="s">
        <v>529</v>
      </c>
    </row>
    <row r="12" spans="2:2">
      <c r="B12" s="439" t="s">
        <v>530</v>
      </c>
    </row>
    <row r="13" spans="2:2">
      <c r="B13" s="439" t="s">
        <v>531</v>
      </c>
    </row>
    <row r="14" spans="2:2">
      <c r="B14" s="439" t="s">
        <v>532</v>
      </c>
    </row>
    <row r="16" spans="2:2">
      <c r="B16" s="433" t="s">
        <v>423</v>
      </c>
    </row>
    <row r="17" spans="2:2">
      <c r="B17" s="432" t="s">
        <v>498</v>
      </c>
    </row>
    <row r="18" spans="2:2">
      <c r="B18" s="432" t="s">
        <v>466</v>
      </c>
    </row>
    <row r="19" spans="2:2">
      <c r="B19" s="434" t="s">
        <v>467</v>
      </c>
    </row>
    <row r="20" spans="2:2">
      <c r="B20" s="434" t="s">
        <v>468</v>
      </c>
    </row>
    <row r="21" spans="2:2">
      <c r="B21" s="434" t="s">
        <v>525</v>
      </c>
    </row>
    <row r="22" spans="2:2">
      <c r="B22" s="434" t="s">
        <v>526</v>
      </c>
    </row>
    <row r="23" spans="2:2">
      <c r="B23" s="432" t="s">
        <v>492</v>
      </c>
    </row>
    <row r="24" spans="2:2">
      <c r="B24" s="434" t="s">
        <v>527</v>
      </c>
    </row>
    <row r="25" spans="2:2">
      <c r="B25" s="432" t="s">
        <v>429</v>
      </c>
    </row>
    <row r="26" spans="2:2">
      <c r="B26" s="432" t="s">
        <v>493</v>
      </c>
    </row>
    <row r="27" spans="2:2">
      <c r="B27" s="432" t="s">
        <v>533</v>
      </c>
    </row>
    <row r="28" spans="2:2">
      <c r="B28" s="432" t="s">
        <v>424</v>
      </c>
    </row>
  </sheetData>
  <hyperlinks>
    <hyperlink ref="B11" r:id="rId1" xr:uid="{A86CDAEA-A992-47D6-9419-F939B62052BB}"/>
    <hyperlink ref="B12" r:id="rId2" xr:uid="{B94CE119-80A7-4BE9-9EB7-20FF5D28CFE3}"/>
    <hyperlink ref="B13" r:id="rId3" xr:uid="{8E174D37-9606-4DAB-A8C9-F910DEB7B281}"/>
    <hyperlink ref="B14" r:id="rId4" display="How to Calculate Total Lifetime Costs of Enterprise Software Solutions" xr:uid="{23007DA5-7219-4C75-80E1-8E45FE701B96}"/>
  </hyperlinks>
  <pageMargins left="0.7" right="0.7" top="0.75" bottom="0.75" header="0.3" footer="0.3"/>
  <pageSetup orientation="portrait" r:id="rId5"/>
  <drawing r:id="rId6"/>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0A930-1A36-46E7-968A-19011D60A4C2}">
  <sheetPr codeName="Sheet34"/>
  <dimension ref="A1:K55"/>
  <sheetViews>
    <sheetView zoomScale="90" zoomScaleNormal="90" workbookViewId="0"/>
  </sheetViews>
  <sheetFormatPr defaultColWidth="8.85546875" defaultRowHeight="15"/>
  <cols>
    <col min="1" max="1" width="45.85546875" bestFit="1" customWidth="1"/>
    <col min="2" max="2" width="1.42578125" style="315" customWidth="1"/>
    <col min="3" max="3" width="61.85546875" bestFit="1" customWidth="1"/>
    <col min="4" max="4" width="1.42578125" style="315" customWidth="1"/>
    <col min="5" max="5" width="27.140625" bestFit="1" customWidth="1"/>
    <col min="6" max="6" width="1.42578125" style="315" customWidth="1"/>
    <col min="7" max="7" width="62.140625" bestFit="1" customWidth="1"/>
    <col min="8" max="8" width="1.42578125" style="315" customWidth="1"/>
    <col min="9" max="9" width="37.140625" bestFit="1" customWidth="1"/>
    <col min="10" max="10" width="1.42578125" style="315" customWidth="1"/>
    <col min="11" max="11" width="33.140625" bestFit="1" customWidth="1"/>
  </cols>
  <sheetData>
    <row r="1" spans="1:11">
      <c r="A1" s="302" t="s">
        <v>305</v>
      </c>
      <c r="C1" s="302" t="s">
        <v>306</v>
      </c>
      <c r="E1" s="302" t="s">
        <v>278</v>
      </c>
      <c r="G1" s="302" t="s">
        <v>340</v>
      </c>
      <c r="I1" s="302" t="s">
        <v>469</v>
      </c>
      <c r="K1" s="302" t="s">
        <v>318</v>
      </c>
    </row>
    <row r="2" spans="1:11">
      <c r="A2" s="303" t="s">
        <v>307</v>
      </c>
      <c r="C2" s="304" t="s">
        <v>308</v>
      </c>
      <c r="E2" s="303" t="s">
        <v>279</v>
      </c>
      <c r="G2" s="303" t="s">
        <v>329</v>
      </c>
      <c r="I2" s="303" t="s">
        <v>470</v>
      </c>
      <c r="K2" s="287" t="s">
        <v>40</v>
      </c>
    </row>
    <row r="3" spans="1:11">
      <c r="A3" s="310" t="s">
        <v>0</v>
      </c>
      <c r="C3" s="309" t="s">
        <v>5</v>
      </c>
      <c r="E3" s="312" t="s">
        <v>280</v>
      </c>
      <c r="G3" s="312" t="s">
        <v>330</v>
      </c>
      <c r="I3" s="312" t="s">
        <v>297</v>
      </c>
      <c r="K3" s="306" t="s">
        <v>319</v>
      </c>
    </row>
    <row r="4" spans="1:11">
      <c r="A4" s="310" t="s">
        <v>2</v>
      </c>
      <c r="C4" s="313" t="s">
        <v>309</v>
      </c>
      <c r="E4" s="311" t="s">
        <v>281</v>
      </c>
      <c r="G4" s="312" t="s">
        <v>341</v>
      </c>
      <c r="I4" s="312" t="s">
        <v>294</v>
      </c>
      <c r="K4" s="287" t="s">
        <v>320</v>
      </c>
    </row>
    <row r="5" spans="1:11">
      <c r="A5" s="310" t="s">
        <v>3</v>
      </c>
      <c r="C5" s="313" t="s">
        <v>188</v>
      </c>
      <c r="E5" s="311" t="s">
        <v>282</v>
      </c>
      <c r="G5" s="312" t="s">
        <v>342</v>
      </c>
      <c r="I5" s="312" t="s">
        <v>475</v>
      </c>
      <c r="K5" s="287" t="s">
        <v>321</v>
      </c>
    </row>
    <row r="6" spans="1:11">
      <c r="A6" s="304" t="s">
        <v>296</v>
      </c>
      <c r="C6" s="313" t="s">
        <v>310</v>
      </c>
      <c r="E6" s="311" t="s">
        <v>283</v>
      </c>
      <c r="G6" s="312" t="s">
        <v>343</v>
      </c>
      <c r="I6" s="312" t="s">
        <v>476</v>
      </c>
      <c r="K6" s="287" t="s">
        <v>322</v>
      </c>
    </row>
    <row r="7" spans="1:11">
      <c r="A7" s="309" t="s">
        <v>5</v>
      </c>
      <c r="C7" s="313" t="s">
        <v>312</v>
      </c>
      <c r="E7" s="312" t="s">
        <v>284</v>
      </c>
      <c r="G7" s="311" t="s">
        <v>336</v>
      </c>
      <c r="I7" s="312" t="s">
        <v>290</v>
      </c>
      <c r="K7" s="287" t="s">
        <v>332</v>
      </c>
    </row>
    <row r="8" spans="1:11">
      <c r="A8" s="309" t="s">
        <v>7</v>
      </c>
      <c r="C8" s="305" t="s">
        <v>311</v>
      </c>
      <c r="E8" s="311" t="s">
        <v>281</v>
      </c>
      <c r="G8" s="312" t="s">
        <v>344</v>
      </c>
      <c r="I8" s="304" t="s">
        <v>296</v>
      </c>
      <c r="K8" s="287" t="s">
        <v>323</v>
      </c>
    </row>
    <row r="9" spans="1:11">
      <c r="A9" s="309" t="s">
        <v>9</v>
      </c>
      <c r="C9" s="318" t="s">
        <v>313</v>
      </c>
      <c r="E9" s="311" t="s">
        <v>282</v>
      </c>
      <c r="G9" s="311" t="s">
        <v>331</v>
      </c>
      <c r="I9" s="309" t="s">
        <v>477</v>
      </c>
      <c r="K9" s="287" t="s">
        <v>324</v>
      </c>
    </row>
    <row r="10" spans="1:11">
      <c r="A10" s="309" t="s">
        <v>11</v>
      </c>
      <c r="C10" s="318" t="s">
        <v>314</v>
      </c>
      <c r="E10" s="311" t="s">
        <v>283</v>
      </c>
      <c r="G10" s="311" t="s">
        <v>358</v>
      </c>
      <c r="I10" s="309" t="s">
        <v>478</v>
      </c>
      <c r="K10" s="287" t="s">
        <v>296</v>
      </c>
    </row>
    <row r="11" spans="1:11">
      <c r="A11" s="309" t="s">
        <v>13</v>
      </c>
      <c r="C11" s="318" t="s">
        <v>167</v>
      </c>
      <c r="E11" s="312" t="s">
        <v>31</v>
      </c>
      <c r="G11" s="311" t="s">
        <v>355</v>
      </c>
      <c r="I11" s="309" t="s">
        <v>299</v>
      </c>
      <c r="K11" s="306" t="s">
        <v>325</v>
      </c>
    </row>
    <row r="12" spans="1:11">
      <c r="A12" s="309" t="s">
        <v>15</v>
      </c>
      <c r="C12" s="318" t="s">
        <v>315</v>
      </c>
      <c r="E12" s="312" t="s">
        <v>285</v>
      </c>
      <c r="G12" s="311" t="s">
        <v>380</v>
      </c>
      <c r="I12" s="309" t="s">
        <v>479</v>
      </c>
      <c r="K12" s="306" t="s">
        <v>299</v>
      </c>
    </row>
    <row r="13" spans="1:11">
      <c r="A13" s="304" t="s">
        <v>17</v>
      </c>
      <c r="C13" s="318" t="s">
        <v>316</v>
      </c>
      <c r="E13" s="311" t="s">
        <v>290</v>
      </c>
      <c r="G13" s="311" t="s">
        <v>337</v>
      </c>
      <c r="I13" s="425" t="s">
        <v>11</v>
      </c>
      <c r="K13" s="287" t="s">
        <v>301</v>
      </c>
    </row>
    <row r="14" spans="1:11">
      <c r="A14" s="305" t="s">
        <v>301</v>
      </c>
      <c r="C14" s="318" t="s">
        <v>317</v>
      </c>
      <c r="E14" s="311" t="s">
        <v>291</v>
      </c>
      <c r="G14" s="311" t="s">
        <v>379</v>
      </c>
      <c r="I14" s="309" t="s">
        <v>480</v>
      </c>
      <c r="K14" s="287" t="s">
        <v>326</v>
      </c>
    </row>
    <row r="15" spans="1:11">
      <c r="A15" s="318" t="s">
        <v>19</v>
      </c>
      <c r="E15" s="312" t="s">
        <v>286</v>
      </c>
      <c r="G15" s="311" t="s">
        <v>381</v>
      </c>
      <c r="I15" s="304" t="s">
        <v>471</v>
      </c>
      <c r="K15" s="287" t="s">
        <v>327</v>
      </c>
    </row>
    <row r="16" spans="1:11">
      <c r="A16" s="318" t="s">
        <v>21</v>
      </c>
      <c r="E16" s="311" t="s">
        <v>288</v>
      </c>
      <c r="G16" s="314" t="s">
        <v>345</v>
      </c>
      <c r="I16" s="305" t="s">
        <v>472</v>
      </c>
      <c r="K16" s="287" t="s">
        <v>328</v>
      </c>
    </row>
    <row r="17" spans="1:9">
      <c r="A17" s="318" t="s">
        <v>23</v>
      </c>
      <c r="E17" s="311" t="s">
        <v>289</v>
      </c>
      <c r="G17" s="313" t="s">
        <v>376</v>
      </c>
      <c r="I17" s="318" t="s">
        <v>481</v>
      </c>
    </row>
    <row r="18" spans="1:9">
      <c r="A18" s="318" t="s">
        <v>25</v>
      </c>
      <c r="E18" s="312" t="s">
        <v>287</v>
      </c>
      <c r="G18" s="313" t="s">
        <v>377</v>
      </c>
      <c r="I18" s="318" t="s">
        <v>482</v>
      </c>
    </row>
    <row r="19" spans="1:9">
      <c r="A19" s="318" t="s">
        <v>27</v>
      </c>
      <c r="E19" s="307" t="s">
        <v>292</v>
      </c>
      <c r="G19" s="313" t="s">
        <v>378</v>
      </c>
      <c r="I19" s="318" t="s">
        <v>483</v>
      </c>
    </row>
    <row r="20" spans="1:9">
      <c r="A20" s="318" t="s">
        <v>29</v>
      </c>
      <c r="E20" s="312" t="s">
        <v>293</v>
      </c>
      <c r="G20" s="313" t="s">
        <v>333</v>
      </c>
      <c r="I20" s="318" t="s">
        <v>484</v>
      </c>
    </row>
    <row r="21" spans="1:9">
      <c r="A21" s="318" t="s">
        <v>31</v>
      </c>
      <c r="E21" s="311" t="s">
        <v>294</v>
      </c>
      <c r="G21" s="313" t="s">
        <v>288</v>
      </c>
      <c r="I21" s="318" t="s">
        <v>35</v>
      </c>
    </row>
    <row r="22" spans="1:9">
      <c r="A22" s="318" t="s">
        <v>33</v>
      </c>
      <c r="E22" s="311" t="s">
        <v>295</v>
      </c>
      <c r="G22" s="314" t="s">
        <v>346</v>
      </c>
      <c r="I22" s="318" t="s">
        <v>485</v>
      </c>
    </row>
    <row r="23" spans="1:9">
      <c r="A23" s="318" t="s">
        <v>35</v>
      </c>
      <c r="E23" s="314" t="s">
        <v>296</v>
      </c>
      <c r="G23" s="313" t="s">
        <v>375</v>
      </c>
      <c r="I23" s="318" t="s">
        <v>486</v>
      </c>
    </row>
    <row r="24" spans="1:9">
      <c r="A24" s="318" t="s">
        <v>0</v>
      </c>
      <c r="E24" s="313" t="s">
        <v>5</v>
      </c>
      <c r="G24" s="313" t="s">
        <v>374</v>
      </c>
      <c r="I24" s="318" t="s">
        <v>487</v>
      </c>
    </row>
    <row r="25" spans="1:9">
      <c r="A25" s="318" t="s">
        <v>38</v>
      </c>
      <c r="E25" s="313" t="s">
        <v>297</v>
      </c>
      <c r="G25" s="314" t="s">
        <v>299</v>
      </c>
      <c r="I25" s="287" t="s">
        <v>473</v>
      </c>
    </row>
    <row r="26" spans="1:9">
      <c r="A26" s="318" t="s">
        <v>40</v>
      </c>
      <c r="E26" s="313" t="s">
        <v>9</v>
      </c>
      <c r="G26" s="313" t="s">
        <v>370</v>
      </c>
      <c r="I26" s="290" t="s">
        <v>474</v>
      </c>
    </row>
    <row r="27" spans="1:9">
      <c r="A27" s="318" t="s">
        <v>42</v>
      </c>
      <c r="E27" s="313" t="s">
        <v>299</v>
      </c>
      <c r="G27" s="313" t="s">
        <v>371</v>
      </c>
      <c r="I27" s="290" t="s">
        <v>40</v>
      </c>
    </row>
    <row r="28" spans="1:9">
      <c r="A28" s="318" t="s">
        <v>44</v>
      </c>
      <c r="E28" s="313" t="s">
        <v>298</v>
      </c>
      <c r="G28" s="313" t="s">
        <v>372</v>
      </c>
    </row>
    <row r="29" spans="1:9">
      <c r="E29" s="313" t="s">
        <v>33</v>
      </c>
      <c r="G29" s="313" t="s">
        <v>373</v>
      </c>
    </row>
    <row r="30" spans="1:9">
      <c r="E30" s="316" t="s">
        <v>300</v>
      </c>
      <c r="G30" s="308" t="s">
        <v>334</v>
      </c>
    </row>
    <row r="31" spans="1:9">
      <c r="E31" s="317" t="s">
        <v>15</v>
      </c>
      <c r="G31" s="307" t="s">
        <v>347</v>
      </c>
    </row>
    <row r="32" spans="1:9">
      <c r="E32" s="317" t="s">
        <v>299</v>
      </c>
      <c r="G32" s="316" t="s">
        <v>348</v>
      </c>
    </row>
    <row r="33" spans="1:7">
      <c r="E33" s="316" t="s">
        <v>301</v>
      </c>
      <c r="G33" s="317" t="s">
        <v>354</v>
      </c>
    </row>
    <row r="34" spans="1:7">
      <c r="E34" s="317" t="s">
        <v>302</v>
      </c>
      <c r="G34" s="317" t="s">
        <v>355</v>
      </c>
    </row>
    <row r="35" spans="1:7">
      <c r="E35" s="317" t="s">
        <v>303</v>
      </c>
      <c r="G35" s="317" t="s">
        <v>356</v>
      </c>
    </row>
    <row r="36" spans="1:7">
      <c r="E36" s="317" t="s">
        <v>297</v>
      </c>
      <c r="G36" s="317" t="s">
        <v>357</v>
      </c>
    </row>
    <row r="37" spans="1:7">
      <c r="E37" s="317" t="s">
        <v>304</v>
      </c>
      <c r="G37" s="317" t="s">
        <v>351</v>
      </c>
    </row>
    <row r="38" spans="1:7">
      <c r="E38" s="317" t="s">
        <v>31</v>
      </c>
      <c r="G38" s="317" t="s">
        <v>338</v>
      </c>
    </row>
    <row r="39" spans="1:7">
      <c r="E39" s="316" t="s">
        <v>287</v>
      </c>
      <c r="G39" s="317" t="s">
        <v>369</v>
      </c>
    </row>
    <row r="40" spans="1:7">
      <c r="E40" s="317" t="s">
        <v>42</v>
      </c>
      <c r="G40" s="316" t="s">
        <v>358</v>
      </c>
    </row>
    <row r="41" spans="1:7">
      <c r="E41" s="317" t="s">
        <v>44</v>
      </c>
      <c r="G41" s="317" t="s">
        <v>359</v>
      </c>
    </row>
    <row r="42" spans="1:7">
      <c r="A42" s="290"/>
      <c r="E42" s="290"/>
      <c r="G42" s="317" t="s">
        <v>360</v>
      </c>
    </row>
    <row r="43" spans="1:7">
      <c r="A43" s="290"/>
      <c r="E43" s="290"/>
      <c r="G43" s="316" t="s">
        <v>349</v>
      </c>
    </row>
    <row r="44" spans="1:7">
      <c r="G44" s="317" t="s">
        <v>294</v>
      </c>
    </row>
    <row r="45" spans="1:7">
      <c r="G45" s="317" t="s">
        <v>339</v>
      </c>
    </row>
    <row r="46" spans="1:7">
      <c r="G46" s="317" t="s">
        <v>361</v>
      </c>
    </row>
    <row r="47" spans="1:7">
      <c r="G47" s="317" t="s">
        <v>362</v>
      </c>
    </row>
    <row r="48" spans="1:7">
      <c r="G48" s="316" t="s">
        <v>335</v>
      </c>
    </row>
    <row r="49" spans="7:7">
      <c r="G49" s="317" t="s">
        <v>363</v>
      </c>
    </row>
    <row r="50" spans="7:7">
      <c r="G50" s="317" t="s">
        <v>364</v>
      </c>
    </row>
    <row r="51" spans="7:7">
      <c r="G51" s="317" t="s">
        <v>365</v>
      </c>
    </row>
    <row r="52" spans="7:7">
      <c r="G52" s="317" t="s">
        <v>366</v>
      </c>
    </row>
    <row r="53" spans="7:7">
      <c r="G53" s="316" t="s">
        <v>350</v>
      </c>
    </row>
    <row r="54" spans="7:7">
      <c r="G54" s="317" t="s">
        <v>368</v>
      </c>
    </row>
    <row r="55" spans="7:7">
      <c r="G55" s="317" t="s">
        <v>367</v>
      </c>
    </row>
  </sheetData>
  <pageMargins left="0.7" right="0.7" top="0.75" bottom="0.75" header="0.3" footer="0.3"/>
  <pageSetup orientation="portrait" r:id="rId1"/>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B9BC8-D354-4BC2-BF14-1405D16AB21D}">
  <sheetPr codeName="Sheet35"/>
  <dimension ref="A1:K83"/>
  <sheetViews>
    <sheetView zoomScale="83" zoomScaleNormal="115" workbookViewId="0">
      <selection activeCell="G83" sqref="G83"/>
    </sheetView>
  </sheetViews>
  <sheetFormatPr defaultColWidth="8.85546875" defaultRowHeight="15"/>
  <cols>
    <col min="1" max="1" width="10.140625" bestFit="1" customWidth="1"/>
    <col min="2" max="2" width="30.42578125" customWidth="1"/>
    <col min="3" max="3" width="11.85546875" bestFit="1" customWidth="1"/>
    <col min="4" max="4" width="16.5703125" bestFit="1" customWidth="1"/>
    <col min="5" max="5" width="8.42578125" bestFit="1" customWidth="1"/>
    <col min="6" max="6" width="15.140625" bestFit="1" customWidth="1"/>
    <col min="7" max="7" width="8.42578125" bestFit="1" customWidth="1"/>
    <col min="8" max="8" width="10.5703125" bestFit="1" customWidth="1"/>
    <col min="9" max="9" width="10.140625" customWidth="1"/>
    <col min="10" max="10" width="10.5703125" bestFit="1" customWidth="1"/>
    <col min="11" max="11" width="144.42578125" style="288" customWidth="1"/>
  </cols>
  <sheetData>
    <row r="1" spans="1:11">
      <c r="A1" t="s">
        <v>534</v>
      </c>
      <c r="B1" t="s">
        <v>535</v>
      </c>
      <c r="C1" t="s">
        <v>265</v>
      </c>
      <c r="D1" t="s">
        <v>536</v>
      </c>
      <c r="E1" t="s">
        <v>463</v>
      </c>
      <c r="F1" t="s">
        <v>537</v>
      </c>
      <c r="G1" t="s">
        <v>463</v>
      </c>
      <c r="H1" t="s">
        <v>301</v>
      </c>
      <c r="I1" t="s">
        <v>463</v>
      </c>
      <c r="J1" t="s">
        <v>538</v>
      </c>
    </row>
    <row r="2" spans="1:11">
      <c r="A2" t="s">
        <v>305</v>
      </c>
      <c r="B2" s="463" t="s">
        <v>539</v>
      </c>
      <c r="C2" t="s">
        <v>53</v>
      </c>
      <c r="D2" s="464">
        <v>1793578</v>
      </c>
      <c r="E2" s="465">
        <f>D2/J2</f>
        <v>0.37541456545168245</v>
      </c>
      <c r="F2" s="464">
        <v>751000</v>
      </c>
      <c r="G2" s="465">
        <f>F2/J2</f>
        <v>0.15719212582570344</v>
      </c>
      <c r="H2" s="464">
        <v>2233015</v>
      </c>
      <c r="I2" s="465">
        <f>H2/J2</f>
        <v>0.46739330872261409</v>
      </c>
      <c r="J2" s="464">
        <v>4777593</v>
      </c>
      <c r="K2" s="469"/>
    </row>
    <row r="3" spans="1:11">
      <c r="A3" t="s">
        <v>305</v>
      </c>
      <c r="B3" s="463" t="s">
        <v>539</v>
      </c>
      <c r="C3" t="s">
        <v>54</v>
      </c>
      <c r="D3" s="464">
        <v>221760</v>
      </c>
      <c r="E3" s="465">
        <f>D3/J3</f>
        <v>7.1770009741510155E-2</v>
      </c>
      <c r="F3" s="464">
        <f>418300+695060</f>
        <v>1113360</v>
      </c>
      <c r="G3" s="465">
        <f>F3/J3</f>
        <v>0.36032583895115328</v>
      </c>
      <c r="H3" s="464">
        <v>1754750</v>
      </c>
      <c r="I3" s="465">
        <f>H3/J3</f>
        <v>0.56790415130733651</v>
      </c>
      <c r="J3" s="464">
        <v>3089870</v>
      </c>
      <c r="K3" s="469"/>
    </row>
    <row r="4" spans="1:11">
      <c r="A4" t="s">
        <v>305</v>
      </c>
      <c r="B4" s="463" t="s">
        <v>539</v>
      </c>
      <c r="C4" t="s">
        <v>55</v>
      </c>
      <c r="D4" s="464">
        <v>311978</v>
      </c>
      <c r="E4" s="465">
        <f>D4/J4</f>
        <v>0.16307501718419629</v>
      </c>
      <c r="F4" s="464">
        <v>175257</v>
      </c>
      <c r="G4" s="465">
        <f>F4/J4</f>
        <v>9.1609146435488051E-2</v>
      </c>
      <c r="H4" s="464">
        <v>1425860</v>
      </c>
      <c r="I4" s="465">
        <f>H4/J4</f>
        <v>0.74531583638031562</v>
      </c>
      <c r="J4" s="464">
        <v>1913095</v>
      </c>
      <c r="K4" s="469"/>
    </row>
    <row r="5" spans="1:11">
      <c r="A5" t="s">
        <v>305</v>
      </c>
      <c r="B5" s="463" t="s">
        <v>539</v>
      </c>
      <c r="C5" t="s">
        <v>56</v>
      </c>
      <c r="D5" s="464">
        <v>535586</v>
      </c>
      <c r="E5" s="465">
        <f>D5/J5</f>
        <v>0.35129607765971405</v>
      </c>
      <c r="F5" s="464">
        <v>78351</v>
      </c>
      <c r="G5" s="465">
        <f>F5/J5</f>
        <v>5.1391184573002756E-2</v>
      </c>
      <c r="H5" s="464">
        <v>910663</v>
      </c>
      <c r="I5" s="465">
        <f>H5/J5</f>
        <v>0.59731273776728322</v>
      </c>
      <c r="J5" s="464">
        <v>1524600</v>
      </c>
      <c r="K5" s="469"/>
    </row>
    <row r="6" spans="1:11">
      <c r="A6" t="s">
        <v>305</v>
      </c>
      <c r="B6" s="463" t="s">
        <v>539</v>
      </c>
      <c r="C6" t="s">
        <v>57</v>
      </c>
      <c r="D6" t="s">
        <v>70</v>
      </c>
      <c r="E6" t="s">
        <v>70</v>
      </c>
      <c r="F6" t="s">
        <v>70</v>
      </c>
      <c r="G6" t="s">
        <v>70</v>
      </c>
      <c r="H6" s="464">
        <v>2978209</v>
      </c>
      <c r="I6" t="s">
        <v>70</v>
      </c>
      <c r="J6" s="464">
        <v>2978209</v>
      </c>
    </row>
    <row r="7" spans="1:11" ht="30">
      <c r="A7" t="s">
        <v>306</v>
      </c>
      <c r="B7" s="466" t="s">
        <v>540</v>
      </c>
      <c r="C7" t="s">
        <v>541</v>
      </c>
      <c r="H7" s="464">
        <v>1443081.3644525292</v>
      </c>
      <c r="I7" t="s">
        <v>70</v>
      </c>
      <c r="J7" s="464">
        <v>1443081.3644525292</v>
      </c>
      <c r="K7" s="468" t="s">
        <v>542</v>
      </c>
    </row>
    <row r="8" spans="1:11" ht="30">
      <c r="A8" t="s">
        <v>306</v>
      </c>
      <c r="B8" s="466" t="s">
        <v>543</v>
      </c>
      <c r="C8" t="s">
        <v>54</v>
      </c>
      <c r="H8" s="464">
        <v>1624628</v>
      </c>
      <c r="I8" t="s">
        <v>70</v>
      </c>
      <c r="J8" s="464">
        <v>1624628</v>
      </c>
      <c r="K8" s="468" t="s">
        <v>552</v>
      </c>
    </row>
    <row r="9" spans="1:11">
      <c r="A9" t="s">
        <v>544</v>
      </c>
      <c r="B9" s="463" t="s">
        <v>545</v>
      </c>
      <c r="C9" t="s">
        <v>70</v>
      </c>
      <c r="D9" s="464">
        <f>45000+211490</f>
        <v>256490</v>
      </c>
      <c r="E9" s="465">
        <f>D9/J9</f>
        <v>0.14362702331608249</v>
      </c>
      <c r="F9" s="464">
        <f>183720+8400+14000</f>
        <v>206120</v>
      </c>
      <c r="G9" s="465">
        <f>F9/J9</f>
        <v>0.11542127196347196</v>
      </c>
      <c r="H9" s="464">
        <f>J9-F9-D9</f>
        <v>1323196</v>
      </c>
      <c r="I9" s="465">
        <f>H9/J9</f>
        <v>0.74095170472044558</v>
      </c>
      <c r="J9" s="464">
        <v>1785806</v>
      </c>
      <c r="K9" s="468" t="s">
        <v>546</v>
      </c>
    </row>
    <row r="10" spans="1:11" ht="75">
      <c r="A10" t="s">
        <v>547</v>
      </c>
      <c r="B10" s="463" t="s">
        <v>548</v>
      </c>
      <c r="C10" t="s">
        <v>549</v>
      </c>
      <c r="D10" s="464">
        <v>173000</v>
      </c>
      <c r="E10" s="465">
        <f>D10/J10</f>
        <v>0.11564171122994653</v>
      </c>
      <c r="F10" s="464">
        <v>91000</v>
      </c>
      <c r="G10" s="465">
        <f>F10/J10</f>
        <v>6.0828877005347594E-2</v>
      </c>
      <c r="H10" s="464">
        <f>(335-81+240+251+247+240)*1000</f>
        <v>1232000</v>
      </c>
      <c r="I10" s="465">
        <f>H10/J10</f>
        <v>0.82352941176470584</v>
      </c>
      <c r="J10" s="464">
        <v>1496000</v>
      </c>
      <c r="K10" s="470" t="s">
        <v>578</v>
      </c>
    </row>
    <row r="11" spans="1:11" ht="30">
      <c r="A11" t="s">
        <v>550</v>
      </c>
      <c r="B11" s="463" t="s">
        <v>551</v>
      </c>
      <c r="D11" s="464">
        <v>195000</v>
      </c>
      <c r="E11" s="465">
        <f>D11/J11</f>
        <v>0.14772727272727273</v>
      </c>
      <c r="F11" s="464">
        <v>600000</v>
      </c>
      <c r="G11" s="465">
        <f>F11/J11</f>
        <v>0.45454545454545453</v>
      </c>
      <c r="H11" s="464">
        <v>525000</v>
      </c>
      <c r="I11" s="465">
        <f>H11/J11</f>
        <v>0.39772727272727271</v>
      </c>
      <c r="J11" s="464">
        <f>SUM(D11,F11,H11)</f>
        <v>1320000</v>
      </c>
      <c r="K11" s="468" t="s">
        <v>553</v>
      </c>
    </row>
    <row r="12" spans="1:11" ht="9" customHeight="1">
      <c r="A12" s="467"/>
      <c r="B12" s="467"/>
      <c r="C12" s="467"/>
      <c r="D12" s="467"/>
      <c r="E12" s="467"/>
      <c r="F12" s="467"/>
      <c r="G12" s="467"/>
      <c r="H12" s="467"/>
      <c r="I12" s="467"/>
      <c r="J12" s="467"/>
    </row>
    <row r="13" spans="1:11" ht="60">
      <c r="A13" t="s">
        <v>554</v>
      </c>
      <c r="B13" s="466" t="s">
        <v>564</v>
      </c>
      <c r="C13" t="s">
        <v>53</v>
      </c>
      <c r="J13" s="464">
        <f>SUM(D14,F15,H16)</f>
        <v>34270000</v>
      </c>
      <c r="K13" s="468" t="s">
        <v>555</v>
      </c>
    </row>
    <row r="14" spans="1:11" ht="30">
      <c r="D14" s="464">
        <f>1170000+380000+100000</f>
        <v>1650000</v>
      </c>
      <c r="E14" s="465">
        <f>D14/J13</f>
        <v>4.8147067405894368E-2</v>
      </c>
      <c r="K14" s="468" t="s">
        <v>556</v>
      </c>
    </row>
    <row r="15" spans="1:11" ht="75">
      <c r="F15" s="464">
        <f>830000+520000+80000+470000+14090000</f>
        <v>15990000</v>
      </c>
      <c r="G15" s="465">
        <f>F15/J13</f>
        <v>0.46658885322439453</v>
      </c>
      <c r="H15" s="464"/>
      <c r="K15" s="468" t="s">
        <v>558</v>
      </c>
    </row>
    <row r="16" spans="1:11" ht="30">
      <c r="F16" s="464"/>
      <c r="H16" s="464">
        <f>30000+60000+8120000+8420000</f>
        <v>16630000</v>
      </c>
      <c r="I16" s="465">
        <f>H16/J13</f>
        <v>0.48526407936971111</v>
      </c>
      <c r="K16" s="468" t="s">
        <v>557</v>
      </c>
    </row>
    <row r="17" spans="2:11" ht="45">
      <c r="B17" s="466" t="s">
        <v>563</v>
      </c>
      <c r="C17" t="s">
        <v>53</v>
      </c>
      <c r="J17" s="464">
        <f>SUM(D18,F19,H20)</f>
        <v>13050000</v>
      </c>
      <c r="K17" s="468" t="s">
        <v>559</v>
      </c>
    </row>
    <row r="18" spans="2:11" ht="45">
      <c r="D18" s="464">
        <f>150000+170000+560000+40000</f>
        <v>920000</v>
      </c>
      <c r="E18" s="465">
        <f>D18/J17</f>
        <v>7.0498084291187743E-2</v>
      </c>
      <c r="K18" s="468" t="s">
        <v>561</v>
      </c>
    </row>
    <row r="19" spans="2:11" ht="45">
      <c r="F19" s="464">
        <f>110000+1340000+2980000+6470000+30000</f>
        <v>10930000</v>
      </c>
      <c r="G19" s="465">
        <f>F19/J17</f>
        <v>0.8375478927203065</v>
      </c>
      <c r="K19" s="468" t="s">
        <v>562</v>
      </c>
    </row>
    <row r="20" spans="2:11" ht="30">
      <c r="H20" s="464">
        <v>1200000</v>
      </c>
      <c r="I20" s="465">
        <f>H20/J17</f>
        <v>9.1954022988505746E-2</v>
      </c>
      <c r="K20" s="468" t="s">
        <v>560</v>
      </c>
    </row>
    <row r="21" spans="2:11" ht="75">
      <c r="B21" s="466" t="s">
        <v>571</v>
      </c>
      <c r="C21" t="s">
        <v>53</v>
      </c>
      <c r="J21" s="464">
        <f>SUM(D22,F23)</f>
        <v>1400000</v>
      </c>
      <c r="K21" s="468" t="s">
        <v>575</v>
      </c>
    </row>
    <row r="22" spans="2:11" ht="30">
      <c r="D22" s="464">
        <f>120000+60000+260000</f>
        <v>440000</v>
      </c>
      <c r="E22" s="465">
        <f>D22/J21</f>
        <v>0.31428571428571428</v>
      </c>
      <c r="K22" s="468" t="s">
        <v>565</v>
      </c>
    </row>
    <row r="23" spans="2:11" ht="30">
      <c r="F23" s="464">
        <f>30000+60000+170000+230000+470000</f>
        <v>960000</v>
      </c>
      <c r="G23" s="465">
        <f>F23/J21</f>
        <v>0.68571428571428572</v>
      </c>
      <c r="K23" s="468" t="s">
        <v>566</v>
      </c>
    </row>
    <row r="24" spans="2:11">
      <c r="H24" t="s">
        <v>70</v>
      </c>
      <c r="I24" t="s">
        <v>70</v>
      </c>
    </row>
    <row r="25" spans="2:11" ht="45">
      <c r="B25" s="466" t="s">
        <v>567</v>
      </c>
      <c r="C25" t="s">
        <v>53</v>
      </c>
      <c r="J25" s="464">
        <f>SUM(D26,F27)</f>
        <v>1020000</v>
      </c>
      <c r="K25" s="468" t="s">
        <v>574</v>
      </c>
    </row>
    <row r="26" spans="2:11">
      <c r="D26" s="464">
        <f>240000+30000</f>
        <v>270000</v>
      </c>
      <c r="E26" s="465">
        <f>D26/J25</f>
        <v>0.26470588235294118</v>
      </c>
      <c r="K26" s="468" t="s">
        <v>569</v>
      </c>
    </row>
    <row r="27" spans="2:11" ht="30">
      <c r="F27" s="464">
        <f>170000+30000+90000+30000+30000+400000</f>
        <v>750000</v>
      </c>
      <c r="G27" s="465">
        <f>F27/J25</f>
        <v>0.73529411764705888</v>
      </c>
      <c r="K27" s="468" t="s">
        <v>570</v>
      </c>
    </row>
    <row r="28" spans="2:11">
      <c r="H28" t="s">
        <v>70</v>
      </c>
      <c r="I28" t="s">
        <v>70</v>
      </c>
    </row>
    <row r="29" spans="2:11" ht="60">
      <c r="B29" s="466" t="s">
        <v>572</v>
      </c>
      <c r="C29" t="s">
        <v>53</v>
      </c>
      <c r="J29" s="464">
        <f>SUM(D30,F31,H32)</f>
        <v>1180000</v>
      </c>
      <c r="K29" s="468" t="s">
        <v>568</v>
      </c>
    </row>
    <row r="30" spans="2:11">
      <c r="D30" s="464">
        <f>230000+300000</f>
        <v>530000</v>
      </c>
      <c r="E30" s="465">
        <f>D30/J29</f>
        <v>0.44915254237288138</v>
      </c>
      <c r="K30" s="468" t="s">
        <v>576</v>
      </c>
    </row>
    <row r="31" spans="2:11" ht="30">
      <c r="F31" s="464">
        <f>170000+10000+30000+30000+340000</f>
        <v>580000</v>
      </c>
      <c r="G31" s="465">
        <f>F31/J29</f>
        <v>0.49152542372881358</v>
      </c>
      <c r="K31" s="468" t="s">
        <v>577</v>
      </c>
    </row>
    <row r="32" spans="2:11">
      <c r="H32" s="464">
        <v>70000</v>
      </c>
      <c r="I32" s="465">
        <f>H32/J29</f>
        <v>5.9322033898305086E-2</v>
      </c>
      <c r="K32" s="468" t="s">
        <v>573</v>
      </c>
    </row>
    <row r="33" spans="2:11" ht="45">
      <c r="B33" s="466" t="s">
        <v>598</v>
      </c>
      <c r="C33" t="s">
        <v>579</v>
      </c>
      <c r="J33" s="464">
        <f>SUM(D34,F35,H36)</f>
        <v>1470000</v>
      </c>
      <c r="K33" s="468" t="s">
        <v>580</v>
      </c>
    </row>
    <row r="34" spans="2:11">
      <c r="D34" s="464">
        <f>180000+140000</f>
        <v>320000</v>
      </c>
      <c r="E34" s="465">
        <f>D34/J33</f>
        <v>0.21768707482993196</v>
      </c>
      <c r="K34" s="468" t="s">
        <v>587</v>
      </c>
    </row>
    <row r="35" spans="2:11">
      <c r="F35" s="464">
        <f>310000+790000</f>
        <v>1100000</v>
      </c>
      <c r="G35" s="465">
        <f>F35/J33</f>
        <v>0.74829931972789121</v>
      </c>
      <c r="H35" s="464"/>
      <c r="K35" s="468" t="s">
        <v>588</v>
      </c>
    </row>
    <row r="36" spans="2:11">
      <c r="F36" s="464"/>
      <c r="H36" s="464">
        <v>50000</v>
      </c>
      <c r="I36" s="465">
        <f>H36/J33</f>
        <v>3.4013605442176874E-2</v>
      </c>
      <c r="K36" s="468" t="s">
        <v>581</v>
      </c>
    </row>
    <row r="37" spans="2:11" ht="60">
      <c r="B37" s="466" t="s">
        <v>599</v>
      </c>
      <c r="C37" t="s">
        <v>53</v>
      </c>
      <c r="J37" s="464">
        <f>SUM(D38,F39)</f>
        <v>410000</v>
      </c>
      <c r="K37" s="468" t="s">
        <v>575</v>
      </c>
    </row>
    <row r="38" spans="2:11">
      <c r="D38" s="464">
        <v>230000</v>
      </c>
      <c r="E38" s="465">
        <f>D38/J37</f>
        <v>0.56097560975609762</v>
      </c>
      <c r="K38" s="468" t="s">
        <v>582</v>
      </c>
    </row>
    <row r="39" spans="2:11">
      <c r="F39" s="464">
        <f>10000+10000+160000</f>
        <v>180000</v>
      </c>
      <c r="G39" s="465">
        <f>F39/J37</f>
        <v>0.43902439024390244</v>
      </c>
      <c r="K39" s="468" t="s">
        <v>583</v>
      </c>
    </row>
    <row r="40" spans="2:11">
      <c r="H40" t="s">
        <v>70</v>
      </c>
      <c r="I40" t="s">
        <v>70</v>
      </c>
    </row>
    <row r="41" spans="2:11" ht="30">
      <c r="B41" s="466" t="s">
        <v>600</v>
      </c>
      <c r="C41" t="s">
        <v>53</v>
      </c>
      <c r="J41" s="464">
        <f>SUM(D42,F43)</f>
        <v>6910000</v>
      </c>
      <c r="K41" s="468" t="s">
        <v>584</v>
      </c>
    </row>
    <row r="42" spans="2:11" ht="30">
      <c r="D42" s="464">
        <f>70000+120000+1950000</f>
        <v>2140000</v>
      </c>
      <c r="E42" s="465">
        <f>D42/J41</f>
        <v>0.30969609261939218</v>
      </c>
      <c r="K42" s="468" t="s">
        <v>585</v>
      </c>
    </row>
    <row r="43" spans="2:11" ht="30">
      <c r="F43" s="464">
        <f>2240000+1820000+130000+30000+550000</f>
        <v>4770000</v>
      </c>
      <c r="G43" s="465">
        <f>F43/J41</f>
        <v>0.69030390738060776</v>
      </c>
      <c r="K43" s="468" t="s">
        <v>586</v>
      </c>
    </row>
    <row r="44" spans="2:11">
      <c r="H44" t="s">
        <v>70</v>
      </c>
      <c r="I44" t="s">
        <v>70</v>
      </c>
    </row>
    <row r="45" spans="2:11" ht="45">
      <c r="B45" s="466" t="s">
        <v>589</v>
      </c>
      <c r="C45" t="s">
        <v>579</v>
      </c>
      <c r="J45" s="464">
        <f>SUM(D46,F47,H48)</f>
        <v>1510000</v>
      </c>
      <c r="K45" s="468" t="s">
        <v>592</v>
      </c>
    </row>
    <row r="46" spans="2:11" ht="30">
      <c r="D46" s="464">
        <v>220000</v>
      </c>
      <c r="E46" s="465">
        <f>D46/J45</f>
        <v>0.14569536423841059</v>
      </c>
      <c r="K46" s="468" t="s">
        <v>593</v>
      </c>
    </row>
    <row r="47" spans="2:11" ht="75">
      <c r="F47" s="464">
        <f>290000+90000+130000+30000+200000+210000</f>
        <v>950000</v>
      </c>
      <c r="G47" s="465">
        <f>F47/J45</f>
        <v>0.62913907284768211</v>
      </c>
      <c r="K47" s="468" t="s">
        <v>591</v>
      </c>
    </row>
    <row r="48" spans="2:11" ht="45">
      <c r="H48" s="464">
        <f>80000+110000+60000+10000+80000</f>
        <v>340000</v>
      </c>
      <c r="I48" s="465">
        <f>H48/J45</f>
        <v>0.2251655629139073</v>
      </c>
      <c r="K48" s="468" t="s">
        <v>590</v>
      </c>
    </row>
    <row r="49" spans="2:11" ht="60">
      <c r="B49" s="466" t="s">
        <v>601</v>
      </c>
      <c r="C49" t="s">
        <v>53</v>
      </c>
      <c r="J49" s="464">
        <f>SUM(D50,F51,H52)</f>
        <v>4110000</v>
      </c>
      <c r="K49" s="468" t="s">
        <v>594</v>
      </c>
    </row>
    <row r="50" spans="2:11">
      <c r="D50" s="464">
        <v>20000</v>
      </c>
      <c r="E50" s="465">
        <f>D50/J49</f>
        <v>4.8661800486618006E-3</v>
      </c>
      <c r="K50" s="468" t="s">
        <v>595</v>
      </c>
    </row>
    <row r="51" spans="2:11">
      <c r="F51" s="464">
        <f>60000+((2/3)*4030000)</f>
        <v>2746666.6666666665</v>
      </c>
      <c r="G51" s="465">
        <f>F51/J49</f>
        <v>0.66828872668288719</v>
      </c>
      <c r="K51" s="468" t="s">
        <v>596</v>
      </c>
    </row>
    <row r="52" spans="2:11" ht="45">
      <c r="H52" s="464">
        <f>(1/3)*4030000</f>
        <v>1343333.3333333333</v>
      </c>
      <c r="I52" s="465">
        <f>H52/J49</f>
        <v>0.3268450932684509</v>
      </c>
      <c r="K52" s="468" t="s">
        <v>597</v>
      </c>
    </row>
    <row r="53" spans="2:11" ht="60">
      <c r="B53" s="466" t="s">
        <v>602</v>
      </c>
      <c r="C53" t="s">
        <v>53</v>
      </c>
      <c r="J53" s="464">
        <f>SUM(D54,F55)</f>
        <v>1740000</v>
      </c>
      <c r="K53" s="468" t="s">
        <v>605</v>
      </c>
    </row>
    <row r="54" spans="2:11" ht="30">
      <c r="D54" s="464">
        <f>180000+310000</f>
        <v>490000</v>
      </c>
      <c r="E54" s="465">
        <f>D54/J53</f>
        <v>0.28160919540229884</v>
      </c>
      <c r="K54" s="468" t="s">
        <v>603</v>
      </c>
    </row>
    <row r="55" spans="2:11">
      <c r="F55" s="464">
        <f>310000+940000</f>
        <v>1250000</v>
      </c>
      <c r="G55" s="465">
        <f>F55/J53</f>
        <v>0.7183908045977011</v>
      </c>
      <c r="K55" s="468" t="s">
        <v>604</v>
      </c>
    </row>
    <row r="56" spans="2:11">
      <c r="H56" t="s">
        <v>70</v>
      </c>
      <c r="I56" t="s">
        <v>70</v>
      </c>
    </row>
    <row r="57" spans="2:11" ht="60">
      <c r="B57" s="466" t="s">
        <v>606</v>
      </c>
      <c r="C57" t="s">
        <v>53</v>
      </c>
      <c r="J57" s="464">
        <f>SUM(D58,F59)</f>
        <v>220000</v>
      </c>
      <c r="K57" s="468" t="s">
        <v>607</v>
      </c>
    </row>
    <row r="58" spans="2:11">
      <c r="D58" s="464">
        <f>10000</f>
        <v>10000</v>
      </c>
      <c r="E58" s="465">
        <f>D58/J57</f>
        <v>4.5454545454545456E-2</v>
      </c>
      <c r="K58" s="468" t="s">
        <v>608</v>
      </c>
    </row>
    <row r="59" spans="2:11" ht="45">
      <c r="F59" s="464">
        <f>130000+80000</f>
        <v>210000</v>
      </c>
      <c r="G59" s="465">
        <f>F59/J57</f>
        <v>0.95454545454545459</v>
      </c>
      <c r="K59" s="468" t="s">
        <v>609</v>
      </c>
    </row>
    <row r="60" spans="2:11">
      <c r="H60" t="s">
        <v>70</v>
      </c>
      <c r="I60" t="s">
        <v>70</v>
      </c>
    </row>
    <row r="61" spans="2:11" ht="105">
      <c r="B61" s="466" t="s">
        <v>610</v>
      </c>
      <c r="C61" t="s">
        <v>53</v>
      </c>
      <c r="J61" s="464">
        <f>SUM(D62,F63)</f>
        <v>1210000</v>
      </c>
      <c r="K61" s="468" t="s">
        <v>574</v>
      </c>
    </row>
    <row r="62" spans="2:11">
      <c r="D62" s="464">
        <f>930000-150000</f>
        <v>780000</v>
      </c>
      <c r="E62" s="465">
        <f>D62/J61</f>
        <v>0.64462809917355368</v>
      </c>
      <c r="K62" s="468" t="s">
        <v>612</v>
      </c>
    </row>
    <row r="63" spans="2:11">
      <c r="F63" s="464">
        <f>280000+150000</f>
        <v>430000</v>
      </c>
      <c r="G63" s="465">
        <f>F63/J61</f>
        <v>0.35537190082644626</v>
      </c>
      <c r="K63" s="468" t="s">
        <v>611</v>
      </c>
    </row>
    <row r="64" spans="2:11">
      <c r="H64" t="s">
        <v>70</v>
      </c>
      <c r="I64" t="s">
        <v>70</v>
      </c>
    </row>
    <row r="65" spans="2:11" ht="60">
      <c r="B65" s="466" t="s">
        <v>613</v>
      </c>
      <c r="C65" t="s">
        <v>53</v>
      </c>
      <c r="J65" s="464">
        <f>SUM(D66,F67,H68)</f>
        <v>970000</v>
      </c>
      <c r="K65" s="468" t="s">
        <v>568</v>
      </c>
    </row>
    <row r="66" spans="2:11" ht="15" customHeight="1">
      <c r="D66" s="464">
        <f>330000+300000</f>
        <v>630000</v>
      </c>
      <c r="E66" s="465">
        <f>D66/J65</f>
        <v>0.64948453608247425</v>
      </c>
      <c r="K66" s="468" t="s">
        <v>614</v>
      </c>
    </row>
    <row r="67" spans="2:11" ht="30">
      <c r="F67" s="464">
        <f>50000+90000+30000+90000</f>
        <v>260000</v>
      </c>
      <c r="G67" s="465">
        <f>F67/J65</f>
        <v>0.26804123711340205</v>
      </c>
      <c r="K67" s="468" t="s">
        <v>615</v>
      </c>
    </row>
    <row r="68" spans="2:11">
      <c r="H68" s="464">
        <f>50000+30000</f>
        <v>80000</v>
      </c>
      <c r="I68" s="465">
        <f>H68/J65</f>
        <v>8.247422680412371E-2</v>
      </c>
      <c r="K68" s="468" t="s">
        <v>616</v>
      </c>
    </row>
    <row r="69" spans="2:11" ht="45">
      <c r="B69" s="466" t="s">
        <v>619</v>
      </c>
      <c r="C69" t="s">
        <v>53</v>
      </c>
      <c r="J69" s="464">
        <f>SUM(D70,F71,H72)</f>
        <v>1230000</v>
      </c>
      <c r="K69" s="468" t="s">
        <v>568</v>
      </c>
    </row>
    <row r="70" spans="2:11" ht="30">
      <c r="D70" s="464">
        <f>470000+270000+360000</f>
        <v>1100000</v>
      </c>
      <c r="E70" s="465">
        <f>D70/J69</f>
        <v>0.89430894308943087</v>
      </c>
      <c r="K70" s="468" t="s">
        <v>617</v>
      </c>
    </row>
    <row r="71" spans="2:11">
      <c r="F71" s="464">
        <f>30000+20000</f>
        <v>50000</v>
      </c>
      <c r="G71" s="465">
        <f>F71/J69</f>
        <v>4.065040650406504E-2</v>
      </c>
      <c r="K71" s="468" t="s">
        <v>618</v>
      </c>
    </row>
    <row r="72" spans="2:11">
      <c r="H72" s="464">
        <f>50000+30000</f>
        <v>80000</v>
      </c>
      <c r="I72" s="465">
        <f>H72/J69</f>
        <v>6.5040650406504072E-2</v>
      </c>
      <c r="K72" s="468" t="s">
        <v>616</v>
      </c>
    </row>
    <row r="73" spans="2:11" ht="60">
      <c r="B73" s="466" t="s">
        <v>621</v>
      </c>
      <c r="C73" t="s">
        <v>53</v>
      </c>
      <c r="J73" s="464">
        <f>SUM(D74,F75,H76)</f>
        <v>1220000</v>
      </c>
      <c r="K73" s="468" t="s">
        <v>568</v>
      </c>
    </row>
    <row r="74" spans="2:11" ht="30">
      <c r="D74" s="464">
        <f>260000+520000</f>
        <v>780000</v>
      </c>
      <c r="E74" s="465">
        <f>D74/J73</f>
        <v>0.63934426229508201</v>
      </c>
      <c r="K74" s="468" t="s">
        <v>620</v>
      </c>
    </row>
    <row r="75" spans="2:11" ht="30">
      <c r="F75" s="464">
        <f>60000+10000+20000+270000</f>
        <v>360000</v>
      </c>
      <c r="G75" s="465">
        <f>F75/J73</f>
        <v>0.29508196721311475</v>
      </c>
      <c r="K75" s="468" t="s">
        <v>622</v>
      </c>
    </row>
    <row r="76" spans="2:11">
      <c r="H76" s="464">
        <f>50000+30000</f>
        <v>80000</v>
      </c>
      <c r="I76" s="465">
        <f>H76/J73</f>
        <v>6.5573770491803282E-2</v>
      </c>
      <c r="K76" s="468" t="s">
        <v>616</v>
      </c>
    </row>
    <row r="77" spans="2:11" ht="75">
      <c r="B77" s="466" t="s">
        <v>623</v>
      </c>
      <c r="C77" t="s">
        <v>53</v>
      </c>
      <c r="J77" s="464">
        <f>SUM(D78,F79,H80)</f>
        <v>2080000</v>
      </c>
      <c r="K77" s="468" t="s">
        <v>624</v>
      </c>
    </row>
    <row r="78" spans="2:11">
      <c r="D78" s="464">
        <f>220000+630000</f>
        <v>850000</v>
      </c>
      <c r="E78" s="465">
        <f>D78/J77</f>
        <v>0.40865384615384615</v>
      </c>
      <c r="K78" s="468" t="s">
        <v>625</v>
      </c>
    </row>
    <row r="79" spans="2:11">
      <c r="F79" s="464">
        <f>230000+880000</f>
        <v>1110000</v>
      </c>
      <c r="G79" s="465">
        <f>F79/J77</f>
        <v>0.53365384615384615</v>
      </c>
      <c r="K79" s="468" t="s">
        <v>626</v>
      </c>
    </row>
    <row r="80" spans="2:11">
      <c r="H80" s="464">
        <f>90000+30000</f>
        <v>120000</v>
      </c>
      <c r="I80" s="465">
        <f>H80/J77</f>
        <v>5.7692307692307696E-2</v>
      </c>
      <c r="K80" s="468" t="s">
        <v>616</v>
      </c>
    </row>
    <row r="83" spans="7:7">
      <c r="G83">
        <f>AVERAGE(G2:G79)</f>
        <v>0.45203231275714523</v>
      </c>
    </row>
  </sheetData>
  <hyperlinks>
    <hyperlink ref="B11" r:id="rId1" xr:uid="{A9DE9F1D-19F1-4C04-B342-61E54D255029}"/>
    <hyperlink ref="B10" r:id="rId2" xr:uid="{5B68EE72-F1C8-42CD-A031-173CD54F9713}"/>
    <hyperlink ref="B9" r:id="rId3" xr:uid="{4FF84D4F-D584-4E70-AC4A-D8C37C4A1D24}"/>
    <hyperlink ref="B8" r:id="rId4" xr:uid="{7426CA41-4772-4ADE-B3FA-83F6F0A271FE}"/>
    <hyperlink ref="B7" r:id="rId5" xr:uid="{2EA6FC6F-AA72-4298-AC3A-D35B70FC7321}"/>
    <hyperlink ref="B2" r:id="rId6" xr:uid="{297B0FA4-2131-4FF9-91CC-B6263D528569}"/>
    <hyperlink ref="B3" r:id="rId7" xr:uid="{68928EE6-5557-49B6-93CA-290C98D48847}"/>
    <hyperlink ref="B4" r:id="rId8" xr:uid="{06DE4C03-06F9-414A-A9B6-0811AE52E14D}"/>
    <hyperlink ref="B5" r:id="rId9" xr:uid="{168CEDAF-909A-4934-9A90-E99094AD0475}"/>
    <hyperlink ref="B6" r:id="rId10" xr:uid="{F22B192E-1D5E-4CF3-BA28-6896123DCBBD}"/>
    <hyperlink ref="B13" r:id="rId11" display="Integrated software solution for PHCs and CHWs with " xr:uid="{6CC87AC6-1795-4750-B114-49C38BCE5D14}"/>
    <hyperlink ref="B17" r:id="rId12" display="Computerize hospital data" xr:uid="{B0D4E07B-5CBA-4398-AAD2-595C926394B2}"/>
    <hyperlink ref="B21" r:id="rId13" display="Strengthen systems for facility performance management and supervision" xr:uid="{C439A413-CB0B-4C1F-9556-11E339D647E7}"/>
    <hyperlink ref="B25" r:id="rId14" display="Implement systems for client feedback management" xr:uid="{4AF8F431-192A-4D28-A788-D0E5A29DBFEC}"/>
    <hyperlink ref="B29" r:id="rId15" xr:uid="{63BB3B49-AA22-4531-8754-D109668C7C1C}"/>
    <hyperlink ref="B33" r:id="rId16" display="Enhance systems for management of supply chain data" xr:uid="{F5E0077F-81C4-4740-AD03-D2219AAE169F}"/>
    <hyperlink ref="B37" r:id="rId17" display="Develop standards for health insurance eClaims" xr:uid="{7B8703AF-369B-42E1-9E0E-17424C2272F3}"/>
    <hyperlink ref="B41" r:id="rId18" display="Improve HMIS indicators and reporting" xr:uid="{D622F757-8FD2-48DE-B355-978E2517AFE6}"/>
    <hyperlink ref="B45" r:id="rId19" xr:uid="{884B3B96-0AC8-4163-A8E5-96FAF95AA0C8}"/>
    <hyperlink ref="B49" r:id="rId20" display="Enhance and scale notifiable disease surveillance" xr:uid="{050616EF-7B96-4E30-AD6D-778E968947FA}"/>
    <hyperlink ref="B53" r:id="rId21" display="Implement notification systems for birth and  death recording" xr:uid="{CBB24576-09D3-4BCD-AF7E-6BE470F3220C}"/>
    <hyperlink ref="B57" r:id="rId22" display="Enhance government coordination of data systems and use initiatives" xr:uid="{72CF5335-FAF3-4451-8CD6-D316D3CAC0B8}"/>
    <hyperlink ref="B61" r:id="rId23" display="Put in place an enterprise architecture, including governance, guidelines, and standards for interoperability" xr:uid="{449A5E22-E4A6-48A8-BF4D-92254C7B67E8}"/>
    <hyperlink ref="B65" r:id="rId24" xr:uid="{B15E70C5-A20C-400E-BB94-C0C41939E05F}"/>
    <hyperlink ref="B69" r:id="rId25" display="Implement a terminology service" xr:uid="{E6876940-DB2F-427D-99D9-F7BA0AF96E2E}"/>
    <hyperlink ref="B73" r:id="rId26" display="Implement an administrative area registry (Identification registriesand directories)" xr:uid="{D6C35C7E-82BA-4A10-8BCC-5DBD826F3329}"/>
    <hyperlink ref="B77" r:id="rId27" xr:uid="{921FDBE1-AF61-40AF-992B-D6BD59661B99}"/>
  </hyperlinks>
  <pageMargins left="0.7" right="0.7" top="0.75" bottom="0.75" header="0.3" footer="0.3"/>
  <pageSetup orientation="portrait" r:id="rId28"/>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6A82F-AA78-421D-91D3-9BCB2DD492DE}">
  <sheetPr codeName="Sheet36"/>
  <dimension ref="B2:U9"/>
  <sheetViews>
    <sheetView zoomScaleNormal="100" workbookViewId="0">
      <selection activeCell="C17" sqref="C17"/>
    </sheetView>
  </sheetViews>
  <sheetFormatPr defaultColWidth="8.85546875" defaultRowHeight="15"/>
  <cols>
    <col min="2" max="2" width="16.5703125" bestFit="1" customWidth="1"/>
    <col min="4" max="4" width="15.140625" bestFit="1" customWidth="1"/>
    <col min="5" max="5" width="16.5703125" bestFit="1" customWidth="1"/>
    <col min="6" max="6" width="10.140625" bestFit="1" customWidth="1"/>
    <col min="7" max="7" width="15.140625" bestFit="1" customWidth="1"/>
    <col min="8" max="8" width="9.5703125" bestFit="1" customWidth="1"/>
    <col min="9" max="9" width="10.140625" bestFit="1" customWidth="1"/>
    <col min="11" max="11" width="9.5703125" bestFit="1" customWidth="1"/>
    <col min="12" max="12" width="9.5703125" customWidth="1"/>
    <col min="13" max="13" width="15.85546875" bestFit="1" customWidth="1"/>
  </cols>
  <sheetData>
    <row r="2" spans="2:21">
      <c r="B2" t="s">
        <v>534</v>
      </c>
      <c r="C2" t="s">
        <v>535</v>
      </c>
      <c r="D2" t="s">
        <v>265</v>
      </c>
      <c r="E2" t="s">
        <v>536</v>
      </c>
      <c r="F2" t="s">
        <v>332</v>
      </c>
      <c r="G2" t="s">
        <v>537</v>
      </c>
      <c r="H2" t="s">
        <v>296</v>
      </c>
      <c r="I2" t="s">
        <v>301</v>
      </c>
      <c r="J2" t="s">
        <v>301</v>
      </c>
      <c r="K2" t="s">
        <v>538</v>
      </c>
      <c r="N2" t="s">
        <v>933</v>
      </c>
      <c r="O2" t="s">
        <v>537</v>
      </c>
      <c r="P2" t="s">
        <v>934</v>
      </c>
      <c r="S2" t="s">
        <v>332</v>
      </c>
      <c r="T2" t="s">
        <v>296</v>
      </c>
      <c r="U2" t="s">
        <v>936</v>
      </c>
    </row>
    <row r="3" spans="2:21">
      <c r="B3" t="s">
        <v>305</v>
      </c>
      <c r="C3" s="463" t="s">
        <v>539</v>
      </c>
      <c r="D3" t="s">
        <v>53</v>
      </c>
      <c r="E3" s="464">
        <v>1793578</v>
      </c>
      <c r="F3" s="465">
        <f t="shared" ref="F3:F9" si="0">E3/K3</f>
        <v>0.37541456545168245</v>
      </c>
      <c r="G3" s="464">
        <v>751000</v>
      </c>
      <c r="H3" s="465">
        <f t="shared" ref="H3:H9" si="1">G3/K3</f>
        <v>0.15719212582570344</v>
      </c>
      <c r="I3" s="464">
        <v>2233015</v>
      </c>
      <c r="J3" s="465">
        <f t="shared" ref="J3:J9" si="2">I3/K3</f>
        <v>0.46739330872261409</v>
      </c>
      <c r="K3" s="464">
        <v>4777593</v>
      </c>
      <c r="L3" s="464"/>
      <c r="M3" t="s">
        <v>53</v>
      </c>
      <c r="N3" s="465">
        <v>0.37541456545168245</v>
      </c>
      <c r="O3" s="465">
        <v>0.15719212582570344</v>
      </c>
      <c r="P3" s="465">
        <v>0.46739330872261409</v>
      </c>
      <c r="R3" t="s">
        <v>937</v>
      </c>
      <c r="S3" s="492">
        <v>0.38</v>
      </c>
      <c r="T3" s="492">
        <v>0.16</v>
      </c>
      <c r="U3" s="492">
        <v>0.47</v>
      </c>
    </row>
    <row r="4" spans="2:21">
      <c r="B4" t="s">
        <v>305</v>
      </c>
      <c r="C4" s="463" t="s">
        <v>539</v>
      </c>
      <c r="D4" t="s">
        <v>54</v>
      </c>
      <c r="E4" s="464">
        <v>221760</v>
      </c>
      <c r="F4" s="465">
        <f t="shared" si="0"/>
        <v>7.1770009741510155E-2</v>
      </c>
      <c r="G4" s="464">
        <f>418300+695060</f>
        <v>1113360</v>
      </c>
      <c r="H4" s="465">
        <f t="shared" si="1"/>
        <v>0.36032583895115328</v>
      </c>
      <c r="I4" s="464">
        <v>1754750</v>
      </c>
      <c r="J4" s="465">
        <f t="shared" si="2"/>
        <v>0.56790415130733651</v>
      </c>
      <c r="K4" s="464">
        <v>3089870</v>
      </c>
      <c r="L4" s="464"/>
      <c r="M4" t="s">
        <v>54</v>
      </c>
      <c r="N4" s="465">
        <v>7.1770009741510155E-2</v>
      </c>
      <c r="O4" s="465">
        <v>0.36032583895115328</v>
      </c>
      <c r="P4" s="465">
        <v>0.56790415130733651</v>
      </c>
      <c r="R4" t="s">
        <v>937</v>
      </c>
      <c r="S4" s="492">
        <v>7.0000000000000007E-2</v>
      </c>
      <c r="T4" s="492">
        <v>0.36</v>
      </c>
      <c r="U4" s="492">
        <v>0.56999999999999995</v>
      </c>
    </row>
    <row r="5" spans="2:21">
      <c r="B5" t="s">
        <v>305</v>
      </c>
      <c r="C5" s="463" t="s">
        <v>539</v>
      </c>
      <c r="D5" t="s">
        <v>55</v>
      </c>
      <c r="E5" s="464">
        <v>311978</v>
      </c>
      <c r="F5" s="465">
        <f t="shared" si="0"/>
        <v>0.16307501718419629</v>
      </c>
      <c r="G5" s="464">
        <v>175257</v>
      </c>
      <c r="H5" s="465">
        <f t="shared" si="1"/>
        <v>9.1609146435488051E-2</v>
      </c>
      <c r="I5" s="464">
        <v>1425860</v>
      </c>
      <c r="J5" s="465">
        <f t="shared" si="2"/>
        <v>0.74531583638031562</v>
      </c>
      <c r="K5" s="464">
        <v>1913095</v>
      </c>
      <c r="L5" s="464"/>
      <c r="M5" t="s">
        <v>55</v>
      </c>
      <c r="N5" s="465">
        <v>0.16307501718419629</v>
      </c>
      <c r="O5" s="465">
        <v>9.1609146435488051E-2</v>
      </c>
      <c r="P5" s="465">
        <v>0.74531583638031562</v>
      </c>
      <c r="R5" t="s">
        <v>937</v>
      </c>
      <c r="S5" s="492">
        <v>0.16</v>
      </c>
      <c r="T5" s="492">
        <v>0.09</v>
      </c>
      <c r="U5" s="492">
        <v>0.75</v>
      </c>
    </row>
    <row r="6" spans="2:21">
      <c r="B6" t="s">
        <v>305</v>
      </c>
      <c r="C6" s="463" t="s">
        <v>539</v>
      </c>
      <c r="D6" t="s">
        <v>56</v>
      </c>
      <c r="E6" s="464">
        <v>535586</v>
      </c>
      <c r="F6" s="465">
        <f t="shared" si="0"/>
        <v>0.35129607765971405</v>
      </c>
      <c r="G6" s="464">
        <v>78351</v>
      </c>
      <c r="H6" s="465">
        <f t="shared" si="1"/>
        <v>5.1391184573002756E-2</v>
      </c>
      <c r="I6" s="464">
        <v>910663</v>
      </c>
      <c r="J6" s="465">
        <f t="shared" si="2"/>
        <v>0.59731273776728322</v>
      </c>
      <c r="K6" s="464">
        <v>1524600</v>
      </c>
      <c r="L6" s="464"/>
      <c r="M6" t="s">
        <v>56</v>
      </c>
      <c r="N6" s="465">
        <v>0.35129607765971405</v>
      </c>
      <c r="O6" s="465">
        <v>5.1391184573002756E-2</v>
      </c>
      <c r="P6" s="465">
        <v>0.59731273776728322</v>
      </c>
      <c r="R6" t="s">
        <v>937</v>
      </c>
      <c r="S6" s="492">
        <v>0.35</v>
      </c>
      <c r="T6" s="492">
        <v>0.05</v>
      </c>
      <c r="U6" s="492">
        <v>0.6</v>
      </c>
    </row>
    <row r="7" spans="2:21" ht="30">
      <c r="B7" t="s">
        <v>544</v>
      </c>
      <c r="C7" s="463" t="s">
        <v>545</v>
      </c>
      <c r="D7" t="s">
        <v>70</v>
      </c>
      <c r="E7" s="464">
        <f>45000+211490</f>
        <v>256490</v>
      </c>
      <c r="F7" s="465">
        <f t="shared" si="0"/>
        <v>0.14362702331608249</v>
      </c>
      <c r="G7" s="464">
        <f>183720+8400+14000</f>
        <v>206120</v>
      </c>
      <c r="H7" s="465">
        <f t="shared" si="1"/>
        <v>0.11542127196347196</v>
      </c>
      <c r="I7" s="464">
        <f>K7-G7-E7</f>
        <v>1323196</v>
      </c>
      <c r="J7" s="465">
        <f t="shared" si="2"/>
        <v>0.74095170472044558</v>
      </c>
      <c r="K7" s="464">
        <v>1785806</v>
      </c>
      <c r="L7" s="464"/>
      <c r="M7" s="288" t="s">
        <v>932</v>
      </c>
      <c r="N7" s="465">
        <v>0.14362702331608249</v>
      </c>
      <c r="O7" s="465">
        <v>0.11542127196347196</v>
      </c>
      <c r="P7" s="465">
        <v>0.74095170472044558</v>
      </c>
      <c r="R7" t="s">
        <v>937</v>
      </c>
      <c r="S7" s="492">
        <v>0.14000000000000001</v>
      </c>
      <c r="T7" s="492">
        <v>0.12</v>
      </c>
      <c r="U7" s="492">
        <v>0.74</v>
      </c>
    </row>
    <row r="8" spans="2:21">
      <c r="B8" t="s">
        <v>547</v>
      </c>
      <c r="C8" s="463" t="s">
        <v>548</v>
      </c>
      <c r="D8" t="s">
        <v>549</v>
      </c>
      <c r="E8" s="464">
        <v>173000</v>
      </c>
      <c r="F8" s="465">
        <f t="shared" si="0"/>
        <v>0.11564171122994653</v>
      </c>
      <c r="G8" s="464">
        <v>91000</v>
      </c>
      <c r="H8" s="465">
        <f t="shared" si="1"/>
        <v>6.0828877005347594E-2</v>
      </c>
      <c r="I8" s="464">
        <f>(335-81+240+251+247+240)*1000</f>
        <v>1232000</v>
      </c>
      <c r="J8" s="465">
        <f t="shared" si="2"/>
        <v>0.82352941176470584</v>
      </c>
      <c r="K8" s="464">
        <v>1496000</v>
      </c>
      <c r="L8" s="464"/>
      <c r="M8" t="s">
        <v>549</v>
      </c>
      <c r="N8" s="465">
        <v>0.11564171122994653</v>
      </c>
      <c r="O8" s="465">
        <v>6.0828877005347594E-2</v>
      </c>
      <c r="P8" s="465">
        <v>0.82352941176470584</v>
      </c>
      <c r="R8" t="s">
        <v>937</v>
      </c>
      <c r="S8" s="492">
        <v>0.12</v>
      </c>
      <c r="T8" s="492">
        <v>0.06</v>
      </c>
      <c r="U8" s="492">
        <v>0.82</v>
      </c>
    </row>
    <row r="9" spans="2:21">
      <c r="B9" t="s">
        <v>550</v>
      </c>
      <c r="C9" s="463" t="s">
        <v>551</v>
      </c>
      <c r="E9" s="464">
        <v>195000</v>
      </c>
      <c r="F9" s="465">
        <f t="shared" si="0"/>
        <v>0.14772727272727273</v>
      </c>
      <c r="G9" s="464">
        <v>600000</v>
      </c>
      <c r="H9" s="465">
        <f t="shared" si="1"/>
        <v>0.45454545454545453</v>
      </c>
      <c r="I9" s="464">
        <v>525000</v>
      </c>
      <c r="J9" s="465">
        <f t="shared" si="2"/>
        <v>0.39772727272727271</v>
      </c>
      <c r="K9" s="464">
        <f>SUM(E9,G9,I9)</f>
        <v>1320000</v>
      </c>
      <c r="L9" s="464"/>
      <c r="M9" t="s">
        <v>935</v>
      </c>
      <c r="N9" s="465">
        <v>0.14772727272727273</v>
      </c>
      <c r="O9" s="465">
        <v>0.45454545454545453</v>
      </c>
      <c r="P9" s="465">
        <v>0.39772727272727271</v>
      </c>
      <c r="R9" t="s">
        <v>937</v>
      </c>
      <c r="S9" s="492">
        <v>0.15</v>
      </c>
      <c r="T9" s="492">
        <v>0.45</v>
      </c>
      <c r="U9" s="492">
        <v>0.4</v>
      </c>
    </row>
  </sheetData>
  <hyperlinks>
    <hyperlink ref="C9" r:id="rId1" xr:uid="{277601EE-BA23-4153-B148-4B231984ED45}"/>
    <hyperlink ref="C8" r:id="rId2" xr:uid="{3BA924E8-53E6-4888-817F-7747AFFA3EBE}"/>
    <hyperlink ref="C7" r:id="rId3" xr:uid="{16FC525B-735B-4C4F-B8F3-8DBAE4B6C78B}"/>
    <hyperlink ref="C3" r:id="rId4" xr:uid="{F6EC2CFE-C2FD-4786-A618-B8C28F00883E}"/>
    <hyperlink ref="C4" r:id="rId5" xr:uid="{CCBF3CF1-7F7D-413E-AA71-83814E62A67B}"/>
    <hyperlink ref="C5" r:id="rId6" xr:uid="{2E38A0B2-4199-48A8-AD47-1186F9FFB429}"/>
    <hyperlink ref="C6" r:id="rId7" xr:uid="{F7E48373-ADDA-4ABB-8C0C-B6ED215921F6}"/>
  </hyperlinks>
  <pageMargins left="0.7" right="0.7" top="0.75" bottom="0.75" header="0.3" footer="0.3"/>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728A-5DCA-8849-B584-FE4F059BBD18}">
  <sheetPr codeName="Sheet5">
    <tabColor theme="9" tint="-0.249977111117893"/>
  </sheetPr>
  <dimension ref="A1:H28"/>
  <sheetViews>
    <sheetView showGridLines="0" zoomScaleNormal="100" workbookViewId="0">
      <pane ySplit="4" topLeftCell="A5" activePane="bottomLeft" state="frozen"/>
      <selection activeCell="C7" sqref="C7"/>
      <selection pane="bottomLeft" activeCell="D7" sqref="D7"/>
    </sheetView>
  </sheetViews>
  <sheetFormatPr defaultColWidth="10.85546875" defaultRowHeight="15" outlineLevelCol="1"/>
  <cols>
    <col min="1" max="1" width="2" style="698" customWidth="1"/>
    <col min="2" max="2" width="68.42578125" style="698" customWidth="1"/>
    <col min="3" max="4" width="20" style="780" customWidth="1"/>
    <col min="5" max="5" width="80" style="698" customWidth="1"/>
    <col min="6" max="6" width="42.5703125" style="698" hidden="1" customWidth="1" outlineLevel="1"/>
    <col min="7" max="7" width="10.85546875" style="698" collapsed="1"/>
    <col min="8" max="16384" width="10.85546875" style="698"/>
  </cols>
  <sheetData>
    <row r="1" spans="2:8" s="689" customFormat="1">
      <c r="B1" s="739" t="s">
        <v>1621</v>
      </c>
      <c r="C1" s="763"/>
      <c r="D1" s="763"/>
    </row>
    <row r="2" spans="2:8" s="689" customFormat="1" ht="32.1" customHeight="1">
      <c r="B2" s="1010" t="s">
        <v>992</v>
      </c>
      <c r="C2" s="1011"/>
      <c r="D2" s="1011"/>
      <c r="E2" s="1012"/>
      <c r="F2" s="764"/>
    </row>
    <row r="4" spans="2:8" ht="32.1" customHeight="1">
      <c r="C4" s="802" t="s">
        <v>993</v>
      </c>
      <c r="D4" s="768" t="s">
        <v>1629</v>
      </c>
      <c r="E4" s="803" t="s">
        <v>995</v>
      </c>
      <c r="F4" s="770" t="s">
        <v>958</v>
      </c>
    </row>
    <row r="5" spans="2:8" s="689" customFormat="1" ht="48" customHeight="1">
      <c r="B5" s="771" t="s">
        <v>646</v>
      </c>
      <c r="C5" s="804"/>
      <c r="D5" s="804"/>
      <c r="E5" s="805" t="s">
        <v>1560</v>
      </c>
      <c r="F5" s="806"/>
    </row>
    <row r="6" spans="2:8" s="689" customFormat="1">
      <c r="C6" s="763"/>
      <c r="D6" s="763"/>
    </row>
    <row r="7" spans="2:8" s="689" customFormat="1" ht="62.1" customHeight="1">
      <c r="B7" s="689" t="s">
        <v>1383</v>
      </c>
      <c r="C7" s="794"/>
      <c r="D7" s="774"/>
      <c r="E7" s="775" t="s">
        <v>1561</v>
      </c>
      <c r="F7" t="s">
        <v>957</v>
      </c>
    </row>
    <row r="8" spans="2:8" s="689" customFormat="1" ht="21">
      <c r="B8" s="894" t="str">
        <f>IF(C7="No","Go to Deployment Costs","")</f>
        <v/>
      </c>
      <c r="C8" s="807"/>
      <c r="D8" s="807"/>
      <c r="E8" s="747"/>
      <c r="F8" s="789"/>
    </row>
    <row r="9" spans="2:8" ht="48" customHeight="1">
      <c r="B9" s="806" t="s">
        <v>0</v>
      </c>
      <c r="C9" s="808"/>
      <c r="D9" s="808"/>
      <c r="E9" s="809" t="s">
        <v>1574</v>
      </c>
      <c r="F9" s="810"/>
      <c r="H9" s="811"/>
    </row>
    <row r="10" spans="2:8" s="689" customFormat="1" ht="90">
      <c r="B10" s="764" t="s">
        <v>1395</v>
      </c>
      <c r="C10" s="799"/>
      <c r="D10" s="812"/>
      <c r="E10" s="813" t="s">
        <v>1466</v>
      </c>
      <c r="F10" s="814" t="s">
        <v>1310</v>
      </c>
    </row>
    <row r="11" spans="2:8" s="689" customFormat="1" ht="48" customHeight="1">
      <c r="B11" s="764" t="s">
        <v>1398</v>
      </c>
      <c r="C11" s="799"/>
      <c r="D11" s="815"/>
      <c r="E11" s="813" t="s">
        <v>1467</v>
      </c>
      <c r="F11" s="814" t="s">
        <v>1311</v>
      </c>
      <c r="G11" s="814"/>
    </row>
    <row r="12" spans="2:8" s="689" customFormat="1" hidden="1">
      <c r="B12" s="816" t="s">
        <v>1226</v>
      </c>
      <c r="C12" s="817">
        <f>C10*C11</f>
        <v>0</v>
      </c>
      <c r="D12" s="818" t="s">
        <v>1388</v>
      </c>
      <c r="E12" s="819" t="s">
        <v>1400</v>
      </c>
      <c r="F12" s="690"/>
    </row>
    <row r="13" spans="2:8" s="689" customFormat="1">
      <c r="B13" s="765"/>
      <c r="C13" s="820"/>
      <c r="D13" s="777"/>
      <c r="E13" s="778"/>
      <c r="F13" s="791"/>
    </row>
    <row r="14" spans="2:8" s="689" customFormat="1" ht="81.95" customHeight="1">
      <c r="B14" s="764" t="s">
        <v>871</v>
      </c>
      <c r="C14" s="799"/>
      <c r="D14" s="812"/>
      <c r="E14" s="813" t="s">
        <v>1468</v>
      </c>
      <c r="F14" s="814" t="s">
        <v>1311</v>
      </c>
    </row>
    <row r="15" spans="2:8" s="689" customFormat="1" ht="150">
      <c r="B15" s="764" t="s">
        <v>870</v>
      </c>
      <c r="C15" s="799"/>
      <c r="D15" s="821" t="s">
        <v>1164</v>
      </c>
      <c r="E15" s="813" t="s">
        <v>1473</v>
      </c>
      <c r="F15" s="814" t="s">
        <v>1311</v>
      </c>
    </row>
    <row r="16" spans="2:8" s="689" customFormat="1" ht="30">
      <c r="B16" s="764" t="s">
        <v>1420</v>
      </c>
      <c r="C16" s="799"/>
      <c r="D16" s="785"/>
      <c r="E16" s="813" t="s">
        <v>1474</v>
      </c>
      <c r="F16" s="791"/>
    </row>
    <row r="17" spans="1:7" s="689" customFormat="1">
      <c r="B17" s="765"/>
      <c r="C17" s="822"/>
      <c r="D17" s="777"/>
      <c r="E17" s="778"/>
      <c r="F17" s="791"/>
    </row>
    <row r="18" spans="1:7">
      <c r="B18" s="806" t="s">
        <v>667</v>
      </c>
      <c r="C18" s="808"/>
      <c r="D18" s="823"/>
      <c r="E18" s="809"/>
      <c r="F18" s="810"/>
      <c r="G18" s="689"/>
    </row>
    <row r="19" spans="1:7" s="689" customFormat="1" ht="32.1" customHeight="1">
      <c r="A19" s="689" t="s">
        <v>1382</v>
      </c>
      <c r="B19" s="764" t="s">
        <v>1397</v>
      </c>
      <c r="C19" s="799"/>
      <c r="D19" s="812"/>
      <c r="E19" s="813" t="s">
        <v>1472</v>
      </c>
      <c r="F19" s="814" t="s">
        <v>1310</v>
      </c>
    </row>
    <row r="20" spans="1:7" s="689" customFormat="1" ht="48" customHeight="1">
      <c r="B20" s="764" t="s">
        <v>1396</v>
      </c>
      <c r="C20" s="799"/>
      <c r="D20" s="824"/>
      <c r="E20" s="813" t="s">
        <v>1469</v>
      </c>
      <c r="F20" s="814" t="s">
        <v>1311</v>
      </c>
    </row>
    <row r="21" spans="1:7" s="689" customFormat="1" ht="17.100000000000001" hidden="1" customHeight="1">
      <c r="B21" s="816" t="s">
        <v>1229</v>
      </c>
      <c r="C21" s="817">
        <f>C19*C20</f>
        <v>0</v>
      </c>
      <c r="D21" s="818" t="s">
        <v>1388</v>
      </c>
      <c r="E21" s="813" t="s">
        <v>1400</v>
      </c>
      <c r="F21" s="690"/>
    </row>
    <row r="22" spans="1:7" s="689" customFormat="1">
      <c r="C22" s="825"/>
      <c r="D22" s="777"/>
      <c r="E22" s="747"/>
      <c r="F22" s="791"/>
    </row>
    <row r="23" spans="1:7" s="689" customFormat="1" ht="32.1" customHeight="1">
      <c r="B23" s="764" t="s">
        <v>1421</v>
      </c>
      <c r="C23" s="799"/>
      <c r="D23" s="785"/>
      <c r="E23" s="813" t="s">
        <v>1470</v>
      </c>
      <c r="F23" t="s">
        <v>957</v>
      </c>
    </row>
    <row r="24" spans="1:7" s="689" customFormat="1">
      <c r="B24" s="764"/>
      <c r="C24" s="822"/>
      <c r="D24" s="777"/>
      <c r="E24" s="778"/>
      <c r="F24" s="791"/>
    </row>
    <row r="25" spans="1:7">
      <c r="B25" s="806" t="s">
        <v>3</v>
      </c>
      <c r="C25" s="808"/>
      <c r="D25" s="823"/>
      <c r="E25" s="809"/>
      <c r="F25" s="810"/>
      <c r="G25" s="689"/>
    </row>
    <row r="26" spans="1:7" s="689" customFormat="1" ht="48" customHeight="1">
      <c r="B26" s="689" t="s">
        <v>1572</v>
      </c>
      <c r="C26" s="799"/>
      <c r="D26" s="812"/>
      <c r="E26" s="813" t="s">
        <v>1573</v>
      </c>
      <c r="F26" s="814" t="s">
        <v>1310</v>
      </c>
    </row>
    <row r="27" spans="1:7" s="689" customFormat="1" ht="62.1" customHeight="1">
      <c r="B27" s="764" t="s">
        <v>1399</v>
      </c>
      <c r="C27" s="799"/>
      <c r="D27" s="824"/>
      <c r="E27" s="813" t="s">
        <v>1471</v>
      </c>
      <c r="F27" s="814" t="s">
        <v>1311</v>
      </c>
    </row>
    <row r="28" spans="1:7" s="689" customFormat="1" hidden="1">
      <c r="B28" s="816" t="s">
        <v>1242</v>
      </c>
      <c r="C28" s="817">
        <f>C26*C27</f>
        <v>0</v>
      </c>
      <c r="D28" s="818" t="s">
        <v>1388</v>
      </c>
      <c r="E28" s="813" t="s">
        <v>1400</v>
      </c>
      <c r="F28" s="690"/>
    </row>
  </sheetData>
  <sheetProtection algorithmName="SHA-512" hashValue="RNmwsNC1czcdjLXv5Ppnq8b1ffPzexkwD5WLPRTexybk4LYIQ3PelSB0xzr/pKtCmAApvoTi6j7TnmMxWj36Fg==" saltValue="YC5cBtTmq7+A917lHfi6Wg==" spinCount="100000" sheet="1" formatColumns="0" formatRows="0"/>
  <mergeCells count="1">
    <mergeCell ref="B2:E2"/>
  </mergeCells>
  <conditionalFormatting sqref="C10:C12">
    <cfRule type="expression" dxfId="93" priority="1">
      <formula>$C$7="No"</formula>
    </cfRule>
  </conditionalFormatting>
  <conditionalFormatting sqref="C14:C16 C19:C21 C23 C26:C28">
    <cfRule type="expression" dxfId="92" priority="4">
      <formula>$C$7="No"</formula>
    </cfRule>
  </conditionalFormatting>
  <hyperlinks>
    <hyperlink ref="B1" location="Menu!D9" tooltip="Menu" display="&lt;&lt; Menu" xr:uid="{ADC22F12-73F0-5746-A7FF-5580928B5EA6}"/>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You can only enter Yes or No in this cell." xr:uid="{416BA8B1-4202-894D-8A01-792DFB90B3FA}">
          <x14:formula1>
            <xm:f>'Value lists'!$A$1:$A$2</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EEAB2-055D-2F44-B63B-20C150D0797F}">
  <sheetPr codeName="Sheet6">
    <tabColor theme="9" tint="-0.249977111117893"/>
  </sheetPr>
  <dimension ref="A1:J185"/>
  <sheetViews>
    <sheetView showGridLines="0" topLeftCell="C1" zoomScale="110" zoomScaleNormal="110" workbookViewId="0">
      <pane ySplit="4" topLeftCell="A8" activePane="bottomLeft" state="frozen"/>
      <selection activeCell="C284" sqref="C284"/>
      <selection pane="bottomLeft" activeCell="E12" sqref="E12:E16"/>
    </sheetView>
  </sheetViews>
  <sheetFormatPr defaultColWidth="10.85546875" defaultRowHeight="15" outlineLevelRow="1" outlineLevelCol="1"/>
  <cols>
    <col min="1" max="1" width="2" style="698" customWidth="1"/>
    <col min="2" max="2" width="68.42578125" style="698" customWidth="1"/>
    <col min="3" max="3" width="20" style="780" customWidth="1"/>
    <col min="4" max="4" width="20" style="698" customWidth="1"/>
    <col min="5" max="5" width="80" style="786" customWidth="1"/>
    <col min="6" max="6" width="42.5703125" style="698" hidden="1" customWidth="1" outlineLevel="1"/>
    <col min="7" max="7" width="10.85546875" style="698" collapsed="1"/>
    <col min="8" max="8" width="17.5703125" style="698" customWidth="1"/>
    <col min="9" max="9" width="11.140625" style="698" bestFit="1" customWidth="1"/>
    <col min="10" max="16384" width="10.85546875" style="698"/>
  </cols>
  <sheetData>
    <row r="1" spans="1:10">
      <c r="A1" s="689"/>
      <c r="B1" s="739" t="s">
        <v>1621</v>
      </c>
      <c r="C1" s="763"/>
      <c r="D1" s="689"/>
      <c r="E1" s="747"/>
      <c r="F1" s="689"/>
    </row>
    <row r="2" spans="1:10" ht="32.1" customHeight="1">
      <c r="A2" s="689"/>
      <c r="B2" s="1010" t="s">
        <v>992</v>
      </c>
      <c r="C2" s="1011"/>
      <c r="D2" s="1011"/>
      <c r="E2" s="1012"/>
      <c r="F2" s="764"/>
    </row>
    <row r="4" spans="1:10" ht="32.1" customHeight="1">
      <c r="C4" s="802" t="s">
        <v>993</v>
      </c>
      <c r="D4" s="768" t="s">
        <v>1629</v>
      </c>
      <c r="E4" s="803" t="s">
        <v>995</v>
      </c>
      <c r="F4" s="770" t="s">
        <v>958</v>
      </c>
    </row>
    <row r="5" spans="1:10" s="689" customFormat="1" ht="125.1" customHeight="1">
      <c r="B5" s="771" t="s">
        <v>648</v>
      </c>
      <c r="C5" s="804"/>
      <c r="D5" s="805"/>
      <c r="E5" s="805" t="s">
        <v>1475</v>
      </c>
      <c r="F5" s="805"/>
    </row>
    <row r="6" spans="1:10" s="689" customFormat="1">
      <c r="C6" s="763"/>
      <c r="E6" s="747"/>
    </row>
    <row r="7" spans="1:10" ht="63.95" customHeight="1">
      <c r="B7" s="806" t="s">
        <v>5</v>
      </c>
      <c r="C7" s="808"/>
      <c r="D7" s="809"/>
      <c r="E7" s="826" t="s">
        <v>1476</v>
      </c>
      <c r="F7" s="810"/>
    </row>
    <row r="8" spans="1:10" s="689" customFormat="1" ht="50.1" customHeight="1">
      <c r="B8" s="765" t="s">
        <v>1446</v>
      </c>
      <c r="C8" s="827" t="s">
        <v>66</v>
      </c>
      <c r="D8" s="828"/>
      <c r="E8" s="775" t="s">
        <v>1496</v>
      </c>
      <c r="F8" s="814" t="s">
        <v>1311</v>
      </c>
      <c r="H8" s="725"/>
    </row>
    <row r="9" spans="1:10" s="689" customFormat="1" ht="57.95" customHeight="1">
      <c r="B9" s="829" t="str">
        <f>IF(C8="Yes","Costs below should be entered in terms of what this deployment will bear, e.g. if the project is bearing 50% of a $1,500 server, then cost should be entered as $750.","")</f>
        <v/>
      </c>
      <c r="C9" s="763"/>
      <c r="D9" s="747"/>
      <c r="E9" s="778"/>
      <c r="F9" s="791"/>
    </row>
    <row r="10" spans="1:10" s="689" customFormat="1" ht="15.95" customHeight="1">
      <c r="B10" s="765" t="s">
        <v>849</v>
      </c>
      <c r="C10" s="799"/>
      <c r="D10" s="830" t="s">
        <v>1497</v>
      </c>
      <c r="E10" s="775" t="s">
        <v>1477</v>
      </c>
      <c r="F10" s="814" t="s">
        <v>1312</v>
      </c>
      <c r="H10" s="831"/>
    </row>
    <row r="11" spans="1:10" s="689" customFormat="1">
      <c r="B11" s="765" t="s">
        <v>1547</v>
      </c>
      <c r="C11" s="832"/>
      <c r="D11" s="833"/>
      <c r="E11" s="747"/>
      <c r="F11" s="791"/>
      <c r="H11" s="725"/>
    </row>
    <row r="12" spans="1:10" s="689" customFormat="1" ht="15.95" customHeight="1">
      <c r="B12" s="689" t="s">
        <v>108</v>
      </c>
      <c r="C12" s="799"/>
      <c r="D12" s="834"/>
      <c r="E12" s="1008" t="s">
        <v>1478</v>
      </c>
      <c r="F12" s="791"/>
      <c r="H12" s="831"/>
      <c r="J12" s="835"/>
    </row>
    <row r="13" spans="1:10" s="689" customFormat="1">
      <c r="B13" s="689" t="s">
        <v>109</v>
      </c>
      <c r="C13" s="799"/>
      <c r="D13" s="834"/>
      <c r="E13" s="1009"/>
      <c r="F13" s="791"/>
      <c r="H13" s="831"/>
      <c r="J13" s="835"/>
    </row>
    <row r="14" spans="1:10" s="689" customFormat="1">
      <c r="B14" s="689" t="s">
        <v>110</v>
      </c>
      <c r="C14" s="799"/>
      <c r="D14" s="834"/>
      <c r="E14" s="1009"/>
      <c r="F14" s="791"/>
      <c r="H14" s="831"/>
      <c r="J14" s="835"/>
    </row>
    <row r="15" spans="1:10" s="689" customFormat="1">
      <c r="B15" s="689" t="s">
        <v>111</v>
      </c>
      <c r="C15" s="799"/>
      <c r="D15" s="834"/>
      <c r="E15" s="1009"/>
      <c r="F15" s="791"/>
      <c r="H15" s="831"/>
      <c r="J15" s="835"/>
    </row>
    <row r="16" spans="1:10" s="689" customFormat="1">
      <c r="B16" s="689" t="s">
        <v>112</v>
      </c>
      <c r="C16" s="799"/>
      <c r="D16" s="834"/>
      <c r="E16" s="1013"/>
      <c r="F16" s="791"/>
      <c r="H16" s="831"/>
      <c r="J16" s="835"/>
    </row>
    <row r="17" spans="2:10" s="689" customFormat="1">
      <c r="B17" s="765"/>
      <c r="C17" s="836"/>
      <c r="E17" s="778"/>
      <c r="F17" s="791"/>
      <c r="H17" s="725"/>
      <c r="I17" s="837"/>
      <c r="J17" s="698"/>
    </row>
    <row r="18" spans="2:10" s="689" customFormat="1">
      <c r="B18" s="765" t="s">
        <v>851</v>
      </c>
      <c r="C18" s="799"/>
      <c r="D18" s="838" t="s">
        <v>1440</v>
      </c>
      <c r="E18" s="813"/>
      <c r="F18" s="791"/>
      <c r="H18" s="831"/>
      <c r="I18" s="698"/>
      <c r="J18" s="698"/>
    </row>
    <row r="19" spans="2:10" s="689" customFormat="1" ht="15.95" customHeight="1">
      <c r="B19" s="765" t="s">
        <v>1548</v>
      </c>
      <c r="C19" s="832"/>
      <c r="D19" s="833"/>
      <c r="E19" s="747"/>
      <c r="F19" s="690" t="s">
        <v>959</v>
      </c>
      <c r="H19" s="725"/>
      <c r="I19" s="698"/>
      <c r="J19" s="698"/>
    </row>
    <row r="20" spans="2:10" s="689" customFormat="1" ht="15.95" customHeight="1">
      <c r="B20" s="689" t="s">
        <v>108</v>
      </c>
      <c r="C20" s="799"/>
      <c r="D20" s="834"/>
      <c r="E20" s="1008" t="s">
        <v>1479</v>
      </c>
      <c r="F20" s="690"/>
      <c r="H20" s="831"/>
      <c r="I20" s="698"/>
      <c r="J20" s="698"/>
    </row>
    <row r="21" spans="2:10" s="689" customFormat="1">
      <c r="B21" s="689" t="s">
        <v>109</v>
      </c>
      <c r="C21" s="799"/>
      <c r="D21" s="834"/>
      <c r="E21" s="1009"/>
      <c r="F21" s="690"/>
      <c r="H21" s="831"/>
      <c r="I21" s="698"/>
      <c r="J21" s="698"/>
    </row>
    <row r="22" spans="2:10" s="689" customFormat="1">
      <c r="B22" s="689" t="s">
        <v>110</v>
      </c>
      <c r="C22" s="799"/>
      <c r="D22" s="834"/>
      <c r="E22" s="1009"/>
      <c r="F22" s="690"/>
      <c r="H22" s="831"/>
      <c r="I22" s="698"/>
      <c r="J22" s="698"/>
    </row>
    <row r="23" spans="2:10" s="689" customFormat="1">
      <c r="B23" s="689" t="s">
        <v>111</v>
      </c>
      <c r="C23" s="799"/>
      <c r="D23" s="834"/>
      <c r="E23" s="1009"/>
      <c r="F23" s="690"/>
      <c r="H23" s="831"/>
      <c r="I23" s="698"/>
      <c r="J23" s="698"/>
    </row>
    <row r="24" spans="2:10" s="689" customFormat="1">
      <c r="B24" s="689" t="s">
        <v>112</v>
      </c>
      <c r="C24" s="799"/>
      <c r="D24" s="834"/>
      <c r="E24" s="1013"/>
      <c r="F24" s="690"/>
      <c r="H24" s="831"/>
      <c r="I24" s="698"/>
      <c r="J24" s="698"/>
    </row>
    <row r="25" spans="2:10" s="689" customFormat="1">
      <c r="B25" s="765"/>
      <c r="C25" s="839"/>
      <c r="E25" s="747"/>
      <c r="H25" s="725"/>
      <c r="I25" s="837"/>
      <c r="J25" s="698"/>
    </row>
    <row r="26" spans="2:10" s="689" customFormat="1" ht="32.1" customHeight="1">
      <c r="B26" s="765" t="s">
        <v>853</v>
      </c>
      <c r="C26" s="799"/>
      <c r="D26" s="838" t="s">
        <v>1148</v>
      </c>
      <c r="E26" s="813"/>
      <c r="F26" s="791"/>
      <c r="H26" s="725"/>
      <c r="I26" s="698"/>
      <c r="J26" s="698"/>
    </row>
    <row r="27" spans="2:10" s="689" customFormat="1" ht="30">
      <c r="B27" s="765" t="s">
        <v>1549</v>
      </c>
      <c r="C27" s="832"/>
      <c r="D27" s="833"/>
      <c r="E27" s="747"/>
      <c r="F27" s="690" t="s">
        <v>957</v>
      </c>
      <c r="H27" s="725"/>
      <c r="I27" s="698"/>
      <c r="J27" s="698"/>
    </row>
    <row r="28" spans="2:10" s="689" customFormat="1" ht="15.95" customHeight="1">
      <c r="B28" s="689" t="s">
        <v>108</v>
      </c>
      <c r="C28" s="799"/>
      <c r="D28" s="834"/>
      <c r="E28" s="1008" t="s">
        <v>1575</v>
      </c>
      <c r="F28" s="690"/>
      <c r="H28" s="831"/>
      <c r="I28" s="698"/>
      <c r="J28" s="698"/>
    </row>
    <row r="29" spans="2:10" s="689" customFormat="1" ht="15.95" customHeight="1">
      <c r="B29" s="689" t="s">
        <v>109</v>
      </c>
      <c r="C29" s="799"/>
      <c r="D29" s="834"/>
      <c r="E29" s="1009"/>
      <c r="F29" s="690"/>
      <c r="H29" s="831"/>
      <c r="I29" s="698"/>
      <c r="J29" s="698"/>
    </row>
    <row r="30" spans="2:10" s="689" customFormat="1" ht="15.95" customHeight="1">
      <c r="B30" s="689" t="s">
        <v>110</v>
      </c>
      <c r="C30" s="799"/>
      <c r="D30" s="834"/>
      <c r="E30" s="1009"/>
      <c r="F30" s="690"/>
      <c r="H30" s="831"/>
      <c r="I30" s="698"/>
      <c r="J30" s="698"/>
    </row>
    <row r="31" spans="2:10" s="689" customFormat="1" ht="15.95" customHeight="1">
      <c r="B31" s="689" t="s">
        <v>111</v>
      </c>
      <c r="C31" s="799"/>
      <c r="D31" s="834"/>
      <c r="E31" s="1009"/>
      <c r="F31" s="690"/>
      <c r="H31" s="831"/>
      <c r="I31" s="698"/>
      <c r="J31" s="698"/>
    </row>
    <row r="32" spans="2:10" s="689" customFormat="1" ht="15.95" customHeight="1">
      <c r="B32" s="689" t="s">
        <v>112</v>
      </c>
      <c r="C32" s="799"/>
      <c r="D32" s="834"/>
      <c r="E32" s="1013"/>
      <c r="F32" s="690"/>
      <c r="H32" s="725"/>
      <c r="I32" s="837"/>
      <c r="J32" s="698"/>
    </row>
    <row r="33" spans="2:10" s="689" customFormat="1">
      <c r="B33" s="765"/>
      <c r="C33" s="839" t="s">
        <v>1382</v>
      </c>
      <c r="E33" s="747"/>
      <c r="H33" s="725"/>
      <c r="I33" s="837"/>
      <c r="J33" s="698"/>
    </row>
    <row r="34" spans="2:10" s="689" customFormat="1" ht="50.1" customHeight="1">
      <c r="B34" s="765" t="s">
        <v>857</v>
      </c>
      <c r="C34" s="799"/>
      <c r="D34" s="830" t="s">
        <v>1387</v>
      </c>
      <c r="E34" s="775" t="s">
        <v>1480</v>
      </c>
      <c r="F34" s="762" t="s">
        <v>961</v>
      </c>
      <c r="I34" s="698"/>
      <c r="J34" s="698"/>
    </row>
    <row r="35" spans="2:10" s="689" customFormat="1" ht="15.95" customHeight="1">
      <c r="B35" s="765" t="s">
        <v>1550</v>
      </c>
      <c r="C35" s="832"/>
      <c r="D35" s="832"/>
      <c r="E35" s="747"/>
      <c r="F35" s="690" t="s">
        <v>957</v>
      </c>
      <c r="H35" s="725"/>
      <c r="I35" s="698"/>
      <c r="J35" s="698"/>
    </row>
    <row r="36" spans="2:10" s="689" customFormat="1" ht="15.95" customHeight="1">
      <c r="B36" s="689" t="s">
        <v>108</v>
      </c>
      <c r="C36" s="799"/>
      <c r="D36" s="830"/>
      <c r="E36" s="1008" t="s">
        <v>1481</v>
      </c>
      <c r="F36" s="690"/>
      <c r="H36" s="831"/>
      <c r="I36" s="698"/>
      <c r="J36" s="698"/>
    </row>
    <row r="37" spans="2:10" s="689" customFormat="1" ht="15.95" customHeight="1">
      <c r="B37" s="689" t="s">
        <v>109</v>
      </c>
      <c r="C37" s="799"/>
      <c r="D37" s="830"/>
      <c r="E37" s="1009"/>
      <c r="F37" s="690"/>
      <c r="H37" s="831"/>
      <c r="I37" s="698"/>
      <c r="J37" s="698"/>
    </row>
    <row r="38" spans="2:10" s="689" customFormat="1" ht="15.95" customHeight="1">
      <c r="B38" s="689" t="s">
        <v>110</v>
      </c>
      <c r="C38" s="799"/>
      <c r="D38" s="830"/>
      <c r="E38" s="1009"/>
      <c r="F38" s="690"/>
      <c r="H38" s="831"/>
      <c r="I38" s="698"/>
      <c r="J38" s="698"/>
    </row>
    <row r="39" spans="2:10" s="689" customFormat="1" ht="15.95" customHeight="1">
      <c r="B39" s="689" t="s">
        <v>111</v>
      </c>
      <c r="C39" s="799"/>
      <c r="D39" s="830"/>
      <c r="E39" s="1009"/>
      <c r="F39" s="690"/>
      <c r="H39" s="831"/>
      <c r="I39" s="698"/>
      <c r="J39" s="698"/>
    </row>
    <row r="40" spans="2:10" s="689" customFormat="1" ht="15.95" customHeight="1">
      <c r="B40" s="689" t="s">
        <v>112</v>
      </c>
      <c r="C40" s="799"/>
      <c r="D40" s="830"/>
      <c r="E40" s="1013"/>
      <c r="F40" s="690"/>
      <c r="H40" s="831"/>
      <c r="I40" s="698"/>
      <c r="J40" s="698"/>
    </row>
    <row r="41" spans="2:10" s="689" customFormat="1">
      <c r="B41" s="765"/>
      <c r="C41" s="840">
        <v>0</v>
      </c>
      <c r="D41" s="841"/>
      <c r="E41" s="842"/>
      <c r="H41" s="725"/>
      <c r="I41" s="837"/>
      <c r="J41" s="698"/>
    </row>
    <row r="42" spans="2:10" s="689" customFormat="1" ht="32.1" customHeight="1">
      <c r="B42" s="765" t="s">
        <v>1551</v>
      </c>
      <c r="C42" s="843"/>
      <c r="D42" s="844"/>
      <c r="E42" s="747"/>
      <c r="H42" s="725"/>
      <c r="I42" s="698"/>
      <c r="J42" s="698"/>
    </row>
    <row r="43" spans="2:10" s="689" customFormat="1" ht="15.95" customHeight="1">
      <c r="B43" s="689" t="s">
        <v>108</v>
      </c>
      <c r="C43" s="799"/>
      <c r="D43" s="845"/>
      <c r="E43" s="1008" t="s">
        <v>1482</v>
      </c>
      <c r="H43" s="717"/>
      <c r="I43" s="698"/>
      <c r="J43" s="698"/>
    </row>
    <row r="44" spans="2:10" s="689" customFormat="1" ht="15.95" customHeight="1">
      <c r="B44" s="689" t="s">
        <v>109</v>
      </c>
      <c r="C44" s="799"/>
      <c r="D44" s="845"/>
      <c r="E44" s="1009"/>
      <c r="H44" s="717"/>
      <c r="I44" s="698"/>
      <c r="J44" s="698"/>
    </row>
    <row r="45" spans="2:10" s="689" customFormat="1" ht="15.95" customHeight="1">
      <c r="B45" s="689" t="s">
        <v>110</v>
      </c>
      <c r="C45" s="799"/>
      <c r="D45" s="845"/>
      <c r="E45" s="1009"/>
      <c r="H45" s="717"/>
      <c r="I45" s="698"/>
      <c r="J45" s="698"/>
    </row>
    <row r="46" spans="2:10" s="689" customFormat="1" ht="15.95" customHeight="1">
      <c r="B46" s="689" t="s">
        <v>111</v>
      </c>
      <c r="C46" s="799"/>
      <c r="D46" s="845"/>
      <c r="E46" s="1009"/>
      <c r="H46" s="717"/>
      <c r="I46" s="698"/>
      <c r="J46" s="698"/>
    </row>
    <row r="47" spans="2:10" s="689" customFormat="1" ht="15.95" customHeight="1">
      <c r="B47" s="689" t="s">
        <v>112</v>
      </c>
      <c r="C47" s="799"/>
      <c r="D47" s="845"/>
      <c r="E47" s="1013"/>
      <c r="H47" s="717"/>
      <c r="I47" s="698"/>
      <c r="J47" s="698"/>
    </row>
    <row r="48" spans="2:10" s="689" customFormat="1">
      <c r="B48" s="765"/>
      <c r="C48" s="763"/>
      <c r="E48" s="747"/>
      <c r="H48" s="725"/>
      <c r="I48" s="837"/>
      <c r="J48" s="846"/>
    </row>
    <row r="49" spans="2:10" ht="32.1" customHeight="1">
      <c r="B49" s="806" t="s">
        <v>7</v>
      </c>
      <c r="C49" s="808"/>
      <c r="D49" s="809"/>
      <c r="E49" s="826" t="s">
        <v>1483</v>
      </c>
      <c r="F49" s="810"/>
    </row>
    <row r="50" spans="2:10" s="689" customFormat="1" ht="48" customHeight="1">
      <c r="B50" s="765" t="s">
        <v>1581</v>
      </c>
      <c r="C50" s="827"/>
      <c r="D50" s="845"/>
      <c r="E50" s="775" t="s">
        <v>1484</v>
      </c>
      <c r="F50" s="814" t="s">
        <v>1311</v>
      </c>
      <c r="I50" s="698"/>
      <c r="J50" s="698"/>
    </row>
    <row r="51" spans="2:10" s="689" customFormat="1" ht="56.1" customHeight="1">
      <c r="B51" s="847" t="str">
        <f>IF(C50="Yes","Costs below should be entered in terms of what this deployment will bear, e.g. if the project is bearing 50% of a $200 solar charger, then the cost will be $100.","")</f>
        <v/>
      </c>
      <c r="C51" s="839"/>
      <c r="E51" s="747"/>
      <c r="I51" s="698"/>
      <c r="J51" s="698"/>
    </row>
    <row r="52" spans="2:10" s="689" customFormat="1" ht="15.95" customHeight="1">
      <c r="B52" s="765" t="s">
        <v>878</v>
      </c>
      <c r="C52" s="799"/>
      <c r="D52" s="838" t="s">
        <v>1432</v>
      </c>
      <c r="E52" s="813"/>
      <c r="F52" s="762" t="s">
        <v>961</v>
      </c>
      <c r="I52" s="698"/>
      <c r="J52" s="698"/>
    </row>
    <row r="53" spans="2:10" s="689" customFormat="1" ht="15.95" customHeight="1">
      <c r="B53" s="765" t="s">
        <v>1552</v>
      </c>
      <c r="C53" s="832"/>
      <c r="D53" s="832"/>
      <c r="E53" s="747"/>
      <c r="F53" s="690" t="s">
        <v>957</v>
      </c>
      <c r="H53" s="725"/>
      <c r="I53" s="698"/>
      <c r="J53" s="698"/>
    </row>
    <row r="54" spans="2:10" s="689" customFormat="1" ht="15.95" customHeight="1">
      <c r="B54" s="689" t="s">
        <v>108</v>
      </c>
      <c r="C54" s="799"/>
      <c r="D54" s="848"/>
      <c r="E54" s="1008" t="s">
        <v>1576</v>
      </c>
      <c r="F54" s="690"/>
      <c r="I54" s="698"/>
      <c r="J54" s="849"/>
    </row>
    <row r="55" spans="2:10" s="689" customFormat="1" ht="15.95" customHeight="1">
      <c r="B55" s="689" t="s">
        <v>109</v>
      </c>
      <c r="C55" s="799"/>
      <c r="D55" s="848"/>
      <c r="E55" s="1009"/>
      <c r="F55" s="690"/>
      <c r="I55" s="698"/>
      <c r="J55" s="849"/>
    </row>
    <row r="56" spans="2:10" s="689" customFormat="1" ht="15.95" customHeight="1">
      <c r="B56" s="689" t="s">
        <v>110</v>
      </c>
      <c r="C56" s="799"/>
      <c r="D56" s="848"/>
      <c r="E56" s="1009"/>
      <c r="F56" s="690"/>
      <c r="I56" s="698"/>
      <c r="J56" s="849"/>
    </row>
    <row r="57" spans="2:10" s="689" customFormat="1" ht="15.95" customHeight="1">
      <c r="B57" s="689" t="s">
        <v>111</v>
      </c>
      <c r="C57" s="799"/>
      <c r="D57" s="848"/>
      <c r="E57" s="1009"/>
      <c r="F57" s="690"/>
      <c r="I57" s="698"/>
      <c r="J57" s="849"/>
    </row>
    <row r="58" spans="2:10" s="689" customFormat="1" ht="15.95" customHeight="1">
      <c r="B58" s="689" t="s">
        <v>112</v>
      </c>
      <c r="C58" s="799"/>
      <c r="D58" s="848"/>
      <c r="E58" s="1013"/>
      <c r="F58" s="690"/>
      <c r="I58" s="698"/>
      <c r="J58" s="849"/>
    </row>
    <row r="59" spans="2:10" s="689" customFormat="1">
      <c r="B59" s="765"/>
      <c r="C59" s="850"/>
      <c r="E59" s="747"/>
      <c r="H59" s="725"/>
      <c r="I59" s="837"/>
      <c r="J59" s="698"/>
    </row>
    <row r="60" spans="2:10" s="689" customFormat="1" ht="32.1" customHeight="1">
      <c r="B60" s="765" t="s">
        <v>1553</v>
      </c>
      <c r="C60" s="851"/>
      <c r="D60" s="852"/>
      <c r="E60" s="747"/>
      <c r="F60" s="690" t="s">
        <v>957</v>
      </c>
      <c r="H60" s="725"/>
      <c r="I60" s="698"/>
      <c r="J60" s="698"/>
    </row>
    <row r="61" spans="2:10" s="689" customFormat="1" ht="15.95" customHeight="1">
      <c r="B61" s="689" t="s">
        <v>108</v>
      </c>
      <c r="C61" s="799"/>
      <c r="D61" s="845"/>
      <c r="E61" s="1008" t="s">
        <v>1485</v>
      </c>
      <c r="F61" s="690"/>
      <c r="H61" s="717"/>
      <c r="I61" s="698"/>
      <c r="J61" s="698"/>
    </row>
    <row r="62" spans="2:10" s="689" customFormat="1">
      <c r="B62" s="689" t="s">
        <v>109</v>
      </c>
      <c r="C62" s="799"/>
      <c r="D62" s="845"/>
      <c r="E62" s="1009"/>
      <c r="F62" s="690"/>
      <c r="H62" s="717"/>
      <c r="I62" s="698"/>
      <c r="J62" s="698"/>
    </row>
    <row r="63" spans="2:10" s="689" customFormat="1">
      <c r="B63" s="689" t="s">
        <v>110</v>
      </c>
      <c r="C63" s="799"/>
      <c r="D63" s="845"/>
      <c r="E63" s="1009"/>
      <c r="F63" s="690"/>
      <c r="H63" s="717"/>
      <c r="I63" s="698"/>
      <c r="J63" s="698"/>
    </row>
    <row r="64" spans="2:10" s="689" customFormat="1">
      <c r="B64" s="689" t="s">
        <v>111</v>
      </c>
      <c r="C64" s="799"/>
      <c r="D64" s="845"/>
      <c r="E64" s="1009"/>
      <c r="F64" s="690"/>
      <c r="H64" s="717"/>
      <c r="I64" s="698"/>
      <c r="J64" s="698"/>
    </row>
    <row r="65" spans="1:10" s="689" customFormat="1">
      <c r="B65" s="689" t="s">
        <v>112</v>
      </c>
      <c r="C65" s="799"/>
      <c r="D65" s="845"/>
      <c r="E65" s="1013"/>
      <c r="F65" s="690"/>
      <c r="H65" s="725"/>
      <c r="I65" s="837"/>
      <c r="J65" s="698"/>
    </row>
    <row r="66" spans="1:10" s="689" customFormat="1">
      <c r="B66" s="765"/>
      <c r="C66" s="822"/>
      <c r="D66" s="853"/>
      <c r="E66" s="854"/>
      <c r="F66" s="853"/>
      <c r="H66" s="725"/>
      <c r="I66" s="837"/>
      <c r="J66" s="846"/>
    </row>
    <row r="67" spans="1:10" ht="32.1" customHeight="1">
      <c r="B67" s="855" t="s">
        <v>9</v>
      </c>
      <c r="C67" s="808"/>
      <c r="D67" s="809"/>
      <c r="E67" s="826" t="s">
        <v>1486</v>
      </c>
      <c r="F67" s="810"/>
    </row>
    <row r="68" spans="1:10" s="689" customFormat="1" ht="48" customHeight="1">
      <c r="B68" s="765" t="s">
        <v>1401</v>
      </c>
      <c r="C68" s="799"/>
      <c r="D68" s="856"/>
      <c r="E68" s="775" t="s">
        <v>1577</v>
      </c>
      <c r="F68" s="814" t="s">
        <v>1311</v>
      </c>
      <c r="G68" s="698"/>
      <c r="I68" s="698"/>
      <c r="J68" s="698"/>
    </row>
    <row r="69" spans="1:10" s="689" customFormat="1" ht="15.95" customHeight="1">
      <c r="B69" s="765" t="s">
        <v>1578</v>
      </c>
      <c r="C69" s="857"/>
      <c r="D69" s="832"/>
      <c r="E69" s="747"/>
      <c r="F69" s="690" t="s">
        <v>959</v>
      </c>
      <c r="G69" s="698"/>
      <c r="I69" s="698"/>
      <c r="J69" s="698"/>
    </row>
    <row r="70" spans="1:10" s="689" customFormat="1" ht="15.95" customHeight="1">
      <c r="A70" s="689" t="s">
        <v>1382</v>
      </c>
      <c r="B70" s="858" t="s">
        <v>108</v>
      </c>
      <c r="C70" s="799"/>
      <c r="D70" s="830"/>
      <c r="E70" s="1008" t="s">
        <v>1487</v>
      </c>
      <c r="F70" s="690"/>
      <c r="G70" s="859"/>
      <c r="H70" s="835"/>
      <c r="I70" s="698"/>
      <c r="J70" s="698"/>
    </row>
    <row r="71" spans="1:10" s="689" customFormat="1" ht="15.95" customHeight="1">
      <c r="B71" s="858" t="s">
        <v>109</v>
      </c>
      <c r="C71" s="799"/>
      <c r="D71" s="830"/>
      <c r="E71" s="1009"/>
      <c r="F71" s="690"/>
      <c r="G71" s="859"/>
      <c r="H71" s="835"/>
      <c r="I71" s="698"/>
      <c r="J71" s="698"/>
    </row>
    <row r="72" spans="1:10" s="689" customFormat="1" ht="15.95" customHeight="1">
      <c r="B72" s="858" t="s">
        <v>110</v>
      </c>
      <c r="C72" s="799"/>
      <c r="D72" s="830"/>
      <c r="E72" s="1009"/>
      <c r="F72" s="690"/>
      <c r="G72" s="859"/>
      <c r="H72" s="835"/>
      <c r="I72" s="698"/>
      <c r="J72" s="698"/>
    </row>
    <row r="73" spans="1:10" s="689" customFormat="1" ht="15.95" customHeight="1">
      <c r="B73" s="858" t="s">
        <v>111</v>
      </c>
      <c r="C73" s="799"/>
      <c r="D73" s="830"/>
      <c r="E73" s="1009"/>
      <c r="F73" s="690"/>
      <c r="G73" s="859"/>
      <c r="H73" s="835"/>
      <c r="I73" s="698"/>
      <c r="J73" s="698"/>
    </row>
    <row r="74" spans="1:10" s="689" customFormat="1" ht="15.95" customHeight="1">
      <c r="B74" s="858" t="s">
        <v>112</v>
      </c>
      <c r="C74" s="799"/>
      <c r="D74" s="830"/>
      <c r="E74" s="1013"/>
      <c r="F74" s="690"/>
      <c r="G74" s="859"/>
      <c r="H74" s="835"/>
      <c r="I74" s="698"/>
      <c r="J74" s="698"/>
    </row>
    <row r="75" spans="1:10" s="689" customFormat="1" ht="27.95" customHeight="1">
      <c r="B75" s="765" t="s">
        <v>1554</v>
      </c>
      <c r="C75" s="843"/>
      <c r="D75" s="852"/>
      <c r="E75" s="747"/>
      <c r="F75" s="791"/>
      <c r="G75" s="698"/>
      <c r="I75" s="698"/>
      <c r="J75" s="698"/>
    </row>
    <row r="76" spans="1:10" s="689" customFormat="1" ht="15.95" customHeight="1">
      <c r="B76" s="858" t="s">
        <v>108</v>
      </c>
      <c r="C76" s="799"/>
      <c r="D76" s="845"/>
      <c r="E76" s="1008"/>
      <c r="F76" s="791"/>
      <c r="G76" s="849"/>
      <c r="I76" s="698"/>
      <c r="J76" s="698"/>
    </row>
    <row r="77" spans="1:10" s="689" customFormat="1" ht="15.95" customHeight="1">
      <c r="B77" s="858" t="s">
        <v>109</v>
      </c>
      <c r="C77" s="799"/>
      <c r="D77" s="845"/>
      <c r="E77" s="1009"/>
      <c r="F77" s="791"/>
      <c r="G77" s="698"/>
      <c r="I77" s="698"/>
      <c r="J77" s="698"/>
    </row>
    <row r="78" spans="1:10" s="689" customFormat="1" ht="15.95" customHeight="1">
      <c r="B78" s="858" t="s">
        <v>110</v>
      </c>
      <c r="C78" s="799"/>
      <c r="D78" s="845"/>
      <c r="E78" s="1009"/>
      <c r="F78" s="791"/>
      <c r="G78" s="698"/>
      <c r="I78" s="698"/>
      <c r="J78" s="698"/>
    </row>
    <row r="79" spans="1:10" s="689" customFormat="1" ht="15.95" customHeight="1">
      <c r="B79" s="858" t="s">
        <v>111</v>
      </c>
      <c r="C79" s="799"/>
      <c r="D79" s="845"/>
      <c r="E79" s="1009"/>
      <c r="F79" s="791"/>
      <c r="G79" s="698"/>
      <c r="I79" s="698"/>
      <c r="J79" s="698"/>
    </row>
    <row r="80" spans="1:10" s="689" customFormat="1" ht="15.95" customHeight="1">
      <c r="B80" s="858" t="s">
        <v>112</v>
      </c>
      <c r="C80" s="799"/>
      <c r="D80" s="845"/>
      <c r="E80" s="1013"/>
      <c r="F80" s="791"/>
      <c r="G80" s="698"/>
      <c r="H80" s="725"/>
      <c r="I80" s="837"/>
      <c r="J80" s="698"/>
    </row>
    <row r="81" spans="2:10" s="689" customFormat="1">
      <c r="B81" s="770"/>
      <c r="C81" s="822"/>
      <c r="D81" s="853"/>
      <c r="E81" s="791"/>
      <c r="F81" s="853"/>
      <c r="H81" s="725"/>
      <c r="I81" s="837"/>
      <c r="J81" s="846"/>
    </row>
    <row r="82" spans="2:10" ht="30">
      <c r="B82" s="855" t="s">
        <v>11</v>
      </c>
      <c r="C82" s="808"/>
      <c r="D82" s="809"/>
      <c r="E82" s="826" t="s">
        <v>1522</v>
      </c>
      <c r="F82" s="860"/>
    </row>
    <row r="83" spans="2:10" s="689" customFormat="1" ht="80.099999999999994" customHeight="1">
      <c r="B83" s="765" t="s">
        <v>1402</v>
      </c>
      <c r="C83" s="799"/>
      <c r="D83" s="856"/>
      <c r="E83" s="775" t="s">
        <v>1488</v>
      </c>
      <c r="F83" s="690" t="s">
        <v>957</v>
      </c>
      <c r="I83" s="698"/>
      <c r="J83" s="698"/>
    </row>
    <row r="84" spans="2:10" s="689" customFormat="1" ht="30">
      <c r="B84" s="765" t="s">
        <v>1523</v>
      </c>
      <c r="C84" s="857"/>
      <c r="D84" s="861"/>
      <c r="E84" s="747"/>
      <c r="F84" s="791"/>
      <c r="I84" s="698"/>
      <c r="J84" s="698"/>
    </row>
    <row r="85" spans="2:10" s="689" customFormat="1" ht="15.95" customHeight="1">
      <c r="B85" s="858" t="s">
        <v>108</v>
      </c>
      <c r="C85" s="799"/>
      <c r="D85" s="845"/>
      <c r="E85" s="1008" t="s">
        <v>1487</v>
      </c>
      <c r="F85" s="791"/>
      <c r="I85" s="698"/>
      <c r="J85" s="698"/>
    </row>
    <row r="86" spans="2:10" s="689" customFormat="1" ht="15.95" customHeight="1">
      <c r="B86" s="858" t="s">
        <v>109</v>
      </c>
      <c r="C86" s="799"/>
      <c r="D86" s="845"/>
      <c r="E86" s="1009"/>
      <c r="F86" s="791"/>
      <c r="I86" s="698"/>
      <c r="J86" s="698"/>
    </row>
    <row r="87" spans="2:10" s="689" customFormat="1" ht="15.95" customHeight="1">
      <c r="B87" s="858" t="s">
        <v>110</v>
      </c>
      <c r="C87" s="799"/>
      <c r="D87" s="845"/>
      <c r="E87" s="1009"/>
      <c r="F87" s="791"/>
      <c r="I87" s="698"/>
      <c r="J87" s="698"/>
    </row>
    <row r="88" spans="2:10" s="689" customFormat="1" ht="15.95" customHeight="1">
      <c r="B88" s="858" t="s">
        <v>111</v>
      </c>
      <c r="C88" s="799"/>
      <c r="D88" s="845"/>
      <c r="E88" s="1009"/>
      <c r="F88" s="791"/>
      <c r="I88" s="698"/>
      <c r="J88" s="698"/>
    </row>
    <row r="89" spans="2:10" s="689" customFormat="1" ht="15.95" customHeight="1">
      <c r="B89" s="858" t="s">
        <v>112</v>
      </c>
      <c r="C89" s="799"/>
      <c r="D89" s="845"/>
      <c r="E89" s="1013"/>
      <c r="F89" s="791"/>
      <c r="I89" s="698"/>
      <c r="J89" s="698"/>
    </row>
    <row r="90" spans="2:10" s="689" customFormat="1">
      <c r="B90" s="765"/>
      <c r="C90" s="862"/>
      <c r="D90" s="853"/>
      <c r="E90" s="854"/>
      <c r="F90" s="853"/>
      <c r="H90" s="725"/>
      <c r="I90" s="837"/>
      <c r="J90" s="698"/>
    </row>
    <row r="91" spans="2:10" ht="32.1" customHeight="1">
      <c r="B91" s="855" t="s">
        <v>1213</v>
      </c>
      <c r="C91" s="863"/>
      <c r="D91" s="809"/>
      <c r="E91" s="826" t="s">
        <v>1489</v>
      </c>
      <c r="F91" s="860"/>
    </row>
    <row r="92" spans="2:10" s="689" customFormat="1" ht="32.1" customHeight="1">
      <c r="B92" s="765" t="s">
        <v>1403</v>
      </c>
      <c r="C92" s="799"/>
      <c r="D92" s="856"/>
      <c r="E92" s="775" t="s">
        <v>1490</v>
      </c>
      <c r="F92" s="690" t="s">
        <v>957</v>
      </c>
      <c r="I92" s="698"/>
      <c r="J92" s="698"/>
    </row>
    <row r="93" spans="2:10" s="689" customFormat="1" ht="32.1" customHeight="1">
      <c r="B93" s="765" t="s">
        <v>1546</v>
      </c>
      <c r="C93" s="857"/>
      <c r="D93" s="861"/>
      <c r="E93" s="747"/>
      <c r="F93" s="791"/>
      <c r="I93" s="698"/>
      <c r="J93" s="698"/>
    </row>
    <row r="94" spans="2:10" s="689" customFormat="1" ht="15.95" customHeight="1">
      <c r="B94" s="858" t="s">
        <v>108</v>
      </c>
      <c r="C94" s="799"/>
      <c r="D94" s="845"/>
      <c r="E94" s="1008" t="s">
        <v>1487</v>
      </c>
      <c r="F94" s="791"/>
      <c r="I94" s="698"/>
      <c r="J94" s="698"/>
    </row>
    <row r="95" spans="2:10" s="689" customFormat="1" ht="15.95" customHeight="1">
      <c r="B95" s="858" t="s">
        <v>109</v>
      </c>
      <c r="C95" s="799"/>
      <c r="D95" s="845"/>
      <c r="E95" s="1009"/>
      <c r="F95" s="791"/>
      <c r="I95" s="698"/>
      <c r="J95" s="698"/>
    </row>
    <row r="96" spans="2:10" s="689" customFormat="1" ht="15.95" customHeight="1">
      <c r="B96" s="858" t="s">
        <v>110</v>
      </c>
      <c r="C96" s="799"/>
      <c r="D96" s="845"/>
      <c r="E96" s="1009"/>
      <c r="F96" s="791"/>
      <c r="I96" s="698"/>
      <c r="J96" s="698"/>
    </row>
    <row r="97" spans="2:10" s="689" customFormat="1" ht="15.95" customHeight="1">
      <c r="B97" s="858" t="s">
        <v>111</v>
      </c>
      <c r="C97" s="799"/>
      <c r="D97" s="845"/>
      <c r="E97" s="1009"/>
      <c r="F97" s="791"/>
      <c r="I97" s="698"/>
      <c r="J97" s="698"/>
    </row>
    <row r="98" spans="2:10" s="689" customFormat="1" ht="15.95" customHeight="1">
      <c r="B98" s="858" t="s">
        <v>112</v>
      </c>
      <c r="C98" s="799"/>
      <c r="D98" s="845"/>
      <c r="E98" s="1013"/>
      <c r="F98" s="791"/>
      <c r="I98" s="698"/>
      <c r="J98" s="698"/>
    </row>
    <row r="99" spans="2:10" s="689" customFormat="1">
      <c r="B99" s="770"/>
      <c r="C99" s="822"/>
      <c r="D99" s="853"/>
      <c r="E99" s="854"/>
      <c r="F99" s="853"/>
      <c r="H99" s="725"/>
      <c r="I99" s="837"/>
      <c r="J99" s="698"/>
    </row>
    <row r="100" spans="2:10" ht="75">
      <c r="B100" s="855" t="s">
        <v>33</v>
      </c>
      <c r="C100" s="808"/>
      <c r="D100" s="809"/>
      <c r="E100" s="826" t="s">
        <v>1491</v>
      </c>
      <c r="F100" s="860"/>
    </row>
    <row r="101" spans="2:10" s="689" customFormat="1" ht="48" customHeight="1">
      <c r="B101" s="765" t="s">
        <v>1404</v>
      </c>
      <c r="C101" s="799"/>
      <c r="D101" s="856"/>
      <c r="E101" s="775" t="s">
        <v>1492</v>
      </c>
      <c r="F101" s="690" t="s">
        <v>959</v>
      </c>
      <c r="I101" s="698"/>
      <c r="J101" s="698"/>
    </row>
    <row r="102" spans="2:10" s="689" customFormat="1" ht="30">
      <c r="B102" s="765" t="s">
        <v>1555</v>
      </c>
      <c r="C102" s="857"/>
      <c r="D102" s="832"/>
      <c r="E102" s="747"/>
      <c r="F102" s="690" t="s">
        <v>960</v>
      </c>
      <c r="I102" s="698"/>
      <c r="J102" s="698"/>
    </row>
    <row r="103" spans="2:10" s="689" customFormat="1" ht="15.95" customHeight="1">
      <c r="B103" s="858" t="s">
        <v>108</v>
      </c>
      <c r="C103" s="799"/>
      <c r="D103" s="830"/>
      <c r="E103" s="1008" t="s">
        <v>1487</v>
      </c>
      <c r="F103" s="690"/>
      <c r="I103" s="698"/>
      <c r="J103" s="698"/>
    </row>
    <row r="104" spans="2:10" s="689" customFormat="1" ht="15.95" customHeight="1">
      <c r="B104" s="858" t="s">
        <v>109</v>
      </c>
      <c r="C104" s="799"/>
      <c r="D104" s="830"/>
      <c r="E104" s="1009"/>
      <c r="F104" s="690"/>
      <c r="I104" s="698"/>
      <c r="J104" s="698"/>
    </row>
    <row r="105" spans="2:10" s="689" customFormat="1" ht="15.95" customHeight="1">
      <c r="B105" s="858" t="s">
        <v>110</v>
      </c>
      <c r="C105" s="799"/>
      <c r="D105" s="830"/>
      <c r="E105" s="1009"/>
      <c r="F105" s="690"/>
      <c r="I105" s="698"/>
      <c r="J105" s="698"/>
    </row>
    <row r="106" spans="2:10" s="689" customFormat="1" ht="15.95" customHeight="1">
      <c r="B106" s="858" t="s">
        <v>111</v>
      </c>
      <c r="C106" s="799"/>
      <c r="D106" s="830"/>
      <c r="E106" s="1009"/>
      <c r="F106" s="690"/>
      <c r="I106" s="698"/>
      <c r="J106" s="698"/>
    </row>
    <row r="107" spans="2:10" s="689" customFormat="1" ht="15.95" customHeight="1">
      <c r="B107" s="858" t="s">
        <v>112</v>
      </c>
      <c r="C107" s="799"/>
      <c r="D107" s="830"/>
      <c r="E107" s="1013"/>
      <c r="F107" s="690"/>
      <c r="I107" s="698"/>
      <c r="J107" s="698"/>
    </row>
    <row r="108" spans="2:10" s="689" customFormat="1" ht="15.95" customHeight="1">
      <c r="B108" s="765" t="s">
        <v>1556</v>
      </c>
      <c r="C108" s="851"/>
      <c r="D108" s="843"/>
      <c r="E108" s="747"/>
      <c r="F108" s="690" t="s">
        <v>962</v>
      </c>
      <c r="I108" s="698"/>
      <c r="J108" s="698"/>
    </row>
    <row r="109" spans="2:10" s="689" customFormat="1" ht="15.95" customHeight="1">
      <c r="B109" s="858" t="s">
        <v>108</v>
      </c>
      <c r="C109" s="864"/>
      <c r="D109" s="865"/>
      <c r="E109" s="1008" t="s">
        <v>1545</v>
      </c>
      <c r="F109" s="690"/>
      <c r="I109" s="698"/>
      <c r="J109" s="698"/>
    </row>
    <row r="110" spans="2:10" s="689" customFormat="1" ht="15.95" customHeight="1">
      <c r="B110" s="858" t="s">
        <v>109</v>
      </c>
      <c r="C110" s="799"/>
      <c r="D110" s="830"/>
      <c r="E110" s="1009"/>
      <c r="F110" s="690"/>
      <c r="I110" s="698"/>
      <c r="J110" s="698"/>
    </row>
    <row r="111" spans="2:10" s="689" customFormat="1" ht="15.95" customHeight="1">
      <c r="B111" s="858" t="s">
        <v>110</v>
      </c>
      <c r="C111" s="799"/>
      <c r="D111" s="830"/>
      <c r="E111" s="1009"/>
      <c r="F111" s="690"/>
      <c r="I111" s="698"/>
      <c r="J111" s="698"/>
    </row>
    <row r="112" spans="2:10" s="689" customFormat="1" ht="15.95" customHeight="1">
      <c r="B112" s="858" t="s">
        <v>111</v>
      </c>
      <c r="C112" s="799"/>
      <c r="D112" s="830"/>
      <c r="E112" s="1009"/>
      <c r="F112" s="690"/>
      <c r="I112" s="698"/>
      <c r="J112" s="698"/>
    </row>
    <row r="113" spans="2:10" s="689" customFormat="1" ht="15.95" customHeight="1">
      <c r="B113" s="858" t="s">
        <v>112</v>
      </c>
      <c r="C113" s="799"/>
      <c r="D113" s="830"/>
      <c r="E113" s="1013"/>
      <c r="F113" s="690"/>
      <c r="I113" s="698"/>
      <c r="J113" s="698"/>
    </row>
    <row r="114" spans="2:10" s="689" customFormat="1">
      <c r="B114" s="765"/>
      <c r="C114" s="822"/>
      <c r="D114" s="747"/>
      <c r="E114" s="778"/>
      <c r="H114" s="725"/>
      <c r="I114" s="837"/>
      <c r="J114" s="846"/>
    </row>
    <row r="115" spans="2:10" ht="32.1" customHeight="1">
      <c r="B115" s="855" t="s">
        <v>13</v>
      </c>
      <c r="C115" s="808"/>
      <c r="D115" s="809"/>
      <c r="E115" s="809" t="s">
        <v>1493</v>
      </c>
      <c r="F115" s="860"/>
    </row>
    <row r="116" spans="2:10">
      <c r="B116" s="866" t="s">
        <v>1424</v>
      </c>
      <c r="D116" s="786"/>
      <c r="F116" s="867"/>
    </row>
    <row r="117" spans="2:10" ht="48" customHeight="1">
      <c r="B117" s="868" t="s">
        <v>1433</v>
      </c>
      <c r="C117" s="799"/>
      <c r="D117" s="856"/>
      <c r="E117" s="775" t="s">
        <v>1579</v>
      </c>
      <c r="F117" s="867"/>
      <c r="H117" s="725"/>
    </row>
    <row r="118" spans="2:10">
      <c r="B118" s="868"/>
      <c r="D118" s="786"/>
      <c r="F118" s="867"/>
    </row>
    <row r="119" spans="2:10">
      <c r="B119" s="866" t="s">
        <v>1426</v>
      </c>
      <c r="C119" s="869"/>
      <c r="D119" s="852"/>
      <c r="F119" s="867"/>
    </row>
    <row r="120" spans="2:10" s="689" customFormat="1" ht="32.1" customHeight="1">
      <c r="B120" s="765" t="s">
        <v>1422</v>
      </c>
      <c r="C120" s="794" t="s">
        <v>652</v>
      </c>
      <c r="D120" s="845"/>
      <c r="E120" s="775" t="s">
        <v>1494</v>
      </c>
      <c r="F120" s="690" t="s">
        <v>957</v>
      </c>
    </row>
    <row r="121" spans="2:10" s="689" customFormat="1" ht="32.1" customHeight="1">
      <c r="B121" s="765" t="s">
        <v>1557</v>
      </c>
      <c r="C121" s="832"/>
      <c r="D121" s="870"/>
      <c r="E121" s="747"/>
      <c r="F121" s="762" t="s">
        <v>957</v>
      </c>
    </row>
    <row r="122" spans="2:10" s="689" customFormat="1" ht="15.95" customHeight="1">
      <c r="B122" s="871" t="s">
        <v>108</v>
      </c>
      <c r="C122" s="799"/>
      <c r="D122" s="856"/>
      <c r="E122" s="1008" t="s">
        <v>1580</v>
      </c>
      <c r="F122" s="690"/>
      <c r="H122" s="872"/>
    </row>
    <row r="123" spans="2:10" s="689" customFormat="1">
      <c r="B123" s="858" t="s">
        <v>109</v>
      </c>
      <c r="C123" s="799"/>
      <c r="D123" s="856"/>
      <c r="E123" s="1009"/>
      <c r="F123" s="690"/>
      <c r="H123" s="872"/>
    </row>
    <row r="124" spans="2:10" s="689" customFormat="1">
      <c r="B124" s="858" t="s">
        <v>110</v>
      </c>
      <c r="C124" s="799"/>
      <c r="D124" s="856"/>
      <c r="E124" s="1009"/>
      <c r="F124" s="690"/>
    </row>
    <row r="125" spans="2:10" s="689" customFormat="1">
      <c r="B125" s="858" t="s">
        <v>111</v>
      </c>
      <c r="C125" s="799"/>
      <c r="D125" s="856"/>
      <c r="E125" s="1009"/>
      <c r="F125" s="690"/>
      <c r="H125" s="872"/>
    </row>
    <row r="126" spans="2:10" s="689" customFormat="1">
      <c r="B126" s="858" t="s">
        <v>112</v>
      </c>
      <c r="C126" s="799"/>
      <c r="D126" s="856"/>
      <c r="E126" s="1013"/>
      <c r="F126" s="690"/>
      <c r="H126" s="873"/>
    </row>
    <row r="127" spans="2:10" s="689" customFormat="1">
      <c r="B127" s="816"/>
      <c r="C127" s="874"/>
      <c r="D127" s="875"/>
      <c r="E127" s="747"/>
      <c r="F127" s="690"/>
      <c r="H127" s="831"/>
    </row>
    <row r="128" spans="2:10" s="689" customFormat="1">
      <c r="B128" s="765" t="s">
        <v>1455</v>
      </c>
      <c r="C128" s="799"/>
      <c r="D128" s="838" t="s">
        <v>1394</v>
      </c>
      <c r="E128" s="876"/>
      <c r="F128" s="690"/>
      <c r="H128" s="873"/>
    </row>
    <row r="129" spans="2:9" s="689" customFormat="1">
      <c r="B129" s="765" t="s">
        <v>1444</v>
      </c>
      <c r="C129" s="832"/>
      <c r="D129" s="832"/>
      <c r="E129" s="747"/>
      <c r="F129" s="690"/>
    </row>
    <row r="130" spans="2:9" s="689" customFormat="1" ht="15.95" customHeight="1">
      <c r="B130" s="858" t="s">
        <v>108</v>
      </c>
      <c r="C130" s="799"/>
      <c r="D130" s="848">
        <f>'Scope of implementation'!C18</f>
        <v>0</v>
      </c>
      <c r="E130" s="1008" t="s">
        <v>1495</v>
      </c>
      <c r="F130" s="690"/>
    </row>
    <row r="131" spans="2:9" s="689" customFormat="1" ht="15.95" customHeight="1">
      <c r="B131" s="858" t="s">
        <v>109</v>
      </c>
      <c r="C131" s="799"/>
      <c r="D131" s="848">
        <f>'Scope of implementation'!C19</f>
        <v>0</v>
      </c>
      <c r="E131" s="1009"/>
      <c r="F131" s="690"/>
    </row>
    <row r="132" spans="2:9" s="689" customFormat="1" ht="15.95" customHeight="1">
      <c r="B132" s="858" t="s">
        <v>110</v>
      </c>
      <c r="C132" s="799"/>
      <c r="D132" s="848">
        <f>'Scope of implementation'!C20</f>
        <v>0</v>
      </c>
      <c r="E132" s="1009"/>
      <c r="F132" s="690"/>
    </row>
    <row r="133" spans="2:9" s="689" customFormat="1" ht="15.95" customHeight="1">
      <c r="B133" s="858" t="s">
        <v>111</v>
      </c>
      <c r="C133" s="799"/>
      <c r="D133" s="848">
        <f>'Scope of implementation'!C21</f>
        <v>0</v>
      </c>
      <c r="E133" s="1009"/>
      <c r="F133" s="690"/>
    </row>
    <row r="134" spans="2:9" s="689" customFormat="1" ht="15.95" customHeight="1">
      <c r="B134" s="858" t="s">
        <v>112</v>
      </c>
      <c r="C134" s="799"/>
      <c r="D134" s="848">
        <f>'Scope of implementation'!C22</f>
        <v>0</v>
      </c>
      <c r="E134" s="1013"/>
      <c r="F134" s="690"/>
    </row>
    <row r="135" spans="2:9" s="689" customFormat="1">
      <c r="B135" s="858"/>
      <c r="C135" s="877"/>
      <c r="D135" s="877"/>
      <c r="E135" s="747"/>
      <c r="F135" s="690"/>
      <c r="I135" s="878"/>
    </row>
    <row r="136" spans="2:9" s="689" customFormat="1" ht="32.1" customHeight="1">
      <c r="B136" s="868" t="s">
        <v>1393</v>
      </c>
      <c r="C136" s="799"/>
      <c r="D136" s="815" t="s">
        <v>1544</v>
      </c>
      <c r="E136" s="813"/>
      <c r="F136" s="690"/>
      <c r="I136" s="699"/>
    </row>
    <row r="137" spans="2:9">
      <c r="B137" s="868"/>
      <c r="C137" s="857"/>
      <c r="D137" s="879"/>
      <c r="F137" s="880"/>
    </row>
    <row r="138" spans="2:9" s="689" customFormat="1" ht="80.099999999999994" customHeight="1">
      <c r="B138" s="868" t="s">
        <v>1605</v>
      </c>
      <c r="C138" s="799"/>
      <c r="D138" s="881" t="s">
        <v>1719</v>
      </c>
      <c r="E138" s="882" t="str">
        <f>IF(C120="Classroom-based training",CONCATENATE("For classroom-based training, this number will be used to calculate the number of training sessions required to train all the users.","For example, if the number of users to be trained is 110 and 20 users can be trained in one session, 6 sessions would have to be conducted.","If training is delivered through eLearning and costs for trainers does not apply, enter $0.00; other costs may be included under ‘other training costs per day’."),"")</f>
        <v/>
      </c>
      <c r="F138" s="690"/>
    </row>
    <row r="139" spans="2:9" s="689" customFormat="1" ht="15.95" customHeight="1">
      <c r="B139" s="868" t="s">
        <v>1606</v>
      </c>
      <c r="C139" s="799"/>
      <c r="D139" s="881"/>
      <c r="E139" s="813"/>
      <c r="F139" s="690"/>
    </row>
    <row r="140" spans="2:9" s="689" customFormat="1" ht="30">
      <c r="B140" s="868" t="s">
        <v>1607</v>
      </c>
      <c r="C140" s="799"/>
      <c r="D140" s="883" t="str">
        <f>IF(C120="Classroom-based training","$170 - 340 USD per day","")</f>
        <v/>
      </c>
      <c r="E140" s="813"/>
      <c r="F140" s="690"/>
    </row>
    <row r="141" spans="2:9" s="689" customFormat="1" ht="29.45" customHeight="1">
      <c r="B141" s="868" t="s">
        <v>1608</v>
      </c>
      <c r="C141" s="884"/>
      <c r="D141" s="881" t="str">
        <f>IF(C120="Classroom-based training","$150 - 200 per person per day","")</f>
        <v/>
      </c>
      <c r="E141" s="813"/>
      <c r="F141" s="690"/>
    </row>
    <row r="142" spans="2:9" s="689" customFormat="1" ht="80.099999999999994" customHeight="1">
      <c r="B142" s="868" t="s">
        <v>1609</v>
      </c>
      <c r="C142" s="885"/>
      <c r="D142" s="879"/>
      <c r="E142" s="886" t="str">
        <f>IF(C120="Classroom-based training",CONCATENATE("May include travel, facility and equipment rentals. Typical requirements: 1 facilitator should be present for every 20 participants assumed. Costs should factor in number of training days, number of attendees, and location of training.","The type of device utilized for the implementation (mobile, tablet or desktop computer) may impact training costs. Training for mobile device systems may incur lower costs if users are familiar with similar mobile applications for other activities."),"")</f>
        <v/>
      </c>
      <c r="F142" s="690"/>
      <c r="I142" s="887"/>
    </row>
    <row r="143" spans="2:9" s="689" customFormat="1" ht="14.45" customHeight="1">
      <c r="B143" s="868"/>
      <c r="D143" s="888"/>
      <c r="E143" s="747"/>
      <c r="F143" s="690"/>
      <c r="I143" s="887"/>
    </row>
    <row r="144" spans="2:9" s="689" customFormat="1" ht="32.1" customHeight="1">
      <c r="B144" s="689" t="s">
        <v>1567</v>
      </c>
      <c r="C144" s="763"/>
      <c r="E144" s="747"/>
      <c r="I144" s="835"/>
    </row>
    <row r="145" spans="2:9" s="689" customFormat="1" outlineLevel="1">
      <c r="C145" s="763"/>
      <c r="E145" s="747"/>
      <c r="I145" s="835"/>
    </row>
    <row r="146" spans="2:9" s="689" customFormat="1" outlineLevel="1">
      <c r="B146" s="699" t="s">
        <v>108</v>
      </c>
      <c r="C146" s="763"/>
      <c r="E146" s="747"/>
      <c r="I146" s="835"/>
    </row>
    <row r="147" spans="2:9" s="689" customFormat="1" outlineLevel="1">
      <c r="B147" s="689" t="s">
        <v>1447</v>
      </c>
      <c r="C147" s="763">
        <f>IFERROR(ROUNDUP((C130/$C$138),0),0)</f>
        <v>0</v>
      </c>
      <c r="E147" s="747"/>
      <c r="I147" s="835"/>
    </row>
    <row r="148" spans="2:9" s="689" customFormat="1" outlineLevel="1">
      <c r="B148" s="689" t="s">
        <v>1450</v>
      </c>
      <c r="C148" s="763">
        <f>$C$128*(C130*$C$136)</f>
        <v>0</v>
      </c>
      <c r="E148" s="747"/>
      <c r="I148" s="835"/>
    </row>
    <row r="149" spans="2:9" s="689" customFormat="1" ht="30" outlineLevel="1">
      <c r="B149" s="689" t="s">
        <v>1448</v>
      </c>
      <c r="C149" s="763">
        <f>($C$139*($C$140+$C$141))*$C$128*C147</f>
        <v>0</v>
      </c>
      <c r="E149" s="747"/>
      <c r="I149" s="835"/>
    </row>
    <row r="150" spans="2:9" s="689" customFormat="1" ht="30" outlineLevel="1">
      <c r="B150" s="689" t="s">
        <v>1449</v>
      </c>
      <c r="C150" s="763">
        <f>$C$142*$C$128*C147</f>
        <v>0</v>
      </c>
      <c r="E150" s="747"/>
      <c r="I150" s="835"/>
    </row>
    <row r="151" spans="2:9" s="689" customFormat="1" ht="30" outlineLevel="1">
      <c r="B151" s="889" t="s">
        <v>1452</v>
      </c>
      <c r="C151" s="890">
        <f>IF(C120="Classroom-based training",SUM(C148:C150),C148)</f>
        <v>0</v>
      </c>
      <c r="E151" s="747"/>
      <c r="I151" s="835"/>
    </row>
    <row r="152" spans="2:9" s="689" customFormat="1" ht="15.75" outlineLevel="1" thickBot="1">
      <c r="B152" s="745" t="s">
        <v>1610</v>
      </c>
      <c r="C152" s="891">
        <f>C151+C122</f>
        <v>0</v>
      </c>
      <c r="E152" s="747"/>
      <c r="I152" s="835"/>
    </row>
    <row r="153" spans="2:9" s="689" customFormat="1" ht="15.75" outlineLevel="1" thickTop="1">
      <c r="C153" s="763"/>
      <c r="E153" s="747"/>
      <c r="I153" s="835"/>
    </row>
    <row r="154" spans="2:9" s="689" customFormat="1" outlineLevel="1">
      <c r="B154" s="699" t="s">
        <v>109</v>
      </c>
      <c r="C154" s="763"/>
      <c r="E154" s="747"/>
      <c r="I154" s="835"/>
    </row>
    <row r="155" spans="2:9" s="689" customFormat="1" outlineLevel="1">
      <c r="B155" s="689" t="s">
        <v>1447</v>
      </c>
      <c r="C155" s="763">
        <f>IFERROR(ROUNDUP((C131/$C$138),0),0)</f>
        <v>0</v>
      </c>
      <c r="E155" s="747"/>
      <c r="I155" s="835"/>
    </row>
    <row r="156" spans="2:9" s="689" customFormat="1" outlineLevel="1">
      <c r="B156" s="689" t="s">
        <v>1450</v>
      </c>
      <c r="C156" s="763">
        <f>$C$128*(C131*$C$136)</f>
        <v>0</v>
      </c>
      <c r="E156" s="747"/>
      <c r="I156" s="835"/>
    </row>
    <row r="157" spans="2:9" s="689" customFormat="1" ht="30" outlineLevel="1">
      <c r="B157" s="689" t="s">
        <v>1448</v>
      </c>
      <c r="C157" s="763">
        <f>($C$139*($C$140+$C$141))*$C$128*C155</f>
        <v>0</v>
      </c>
      <c r="E157" s="747"/>
      <c r="I157" s="835"/>
    </row>
    <row r="158" spans="2:9" s="689" customFormat="1" ht="30" outlineLevel="1">
      <c r="B158" s="689" t="s">
        <v>1449</v>
      </c>
      <c r="C158" s="763">
        <f>$C$142*$C$128*C155</f>
        <v>0</v>
      </c>
      <c r="E158" s="747"/>
      <c r="I158" s="835"/>
    </row>
    <row r="159" spans="2:9" s="689" customFormat="1" ht="30" outlineLevel="1">
      <c r="B159" s="889" t="s">
        <v>1454</v>
      </c>
      <c r="C159" s="890">
        <f>IF(C120="Classroom-based training",SUM(C156:C158),C156)</f>
        <v>0</v>
      </c>
      <c r="E159" s="747"/>
      <c r="I159" s="835"/>
    </row>
    <row r="160" spans="2:9" s="689" customFormat="1" ht="15.75" outlineLevel="1" thickBot="1">
      <c r="B160" s="745" t="s">
        <v>1611</v>
      </c>
      <c r="C160" s="891">
        <f>C159+C123</f>
        <v>0</v>
      </c>
      <c r="E160" s="747"/>
      <c r="I160" s="835"/>
    </row>
    <row r="161" spans="2:9" s="689" customFormat="1" ht="15.75" outlineLevel="1" thickTop="1">
      <c r="C161" s="763"/>
      <c r="E161" s="747"/>
      <c r="I161" s="835"/>
    </row>
    <row r="162" spans="2:9" s="689" customFormat="1" outlineLevel="1">
      <c r="B162" s="699" t="s">
        <v>110</v>
      </c>
      <c r="C162" s="763"/>
      <c r="E162" s="747"/>
      <c r="I162" s="835"/>
    </row>
    <row r="163" spans="2:9" s="689" customFormat="1" outlineLevel="1">
      <c r="B163" s="689" t="s">
        <v>1447</v>
      </c>
      <c r="C163" s="763">
        <f>IFERROR(ROUNDUP((C132/$C$138),0),0)</f>
        <v>0</v>
      </c>
      <c r="E163" s="747"/>
      <c r="I163" s="835"/>
    </row>
    <row r="164" spans="2:9" s="689" customFormat="1" outlineLevel="1">
      <c r="B164" s="689" t="s">
        <v>1450</v>
      </c>
      <c r="C164" s="763">
        <f>$C$128*(C132*$C$136)</f>
        <v>0</v>
      </c>
      <c r="E164" s="747"/>
      <c r="I164" s="835"/>
    </row>
    <row r="165" spans="2:9" s="689" customFormat="1" ht="30" outlineLevel="1">
      <c r="B165" s="689" t="s">
        <v>1448</v>
      </c>
      <c r="C165" s="763">
        <f>($C$139*($C$140+$C$141))*$C$128*C163</f>
        <v>0</v>
      </c>
      <c r="E165" s="747"/>
      <c r="I165" s="835"/>
    </row>
    <row r="166" spans="2:9" s="689" customFormat="1" ht="30" outlineLevel="1">
      <c r="B166" s="689" t="s">
        <v>1449</v>
      </c>
      <c r="C166" s="763">
        <f>$C$142*$C$128*C163</f>
        <v>0</v>
      </c>
      <c r="E166" s="747"/>
      <c r="I166" s="835"/>
    </row>
    <row r="167" spans="2:9" s="689" customFormat="1" ht="30" outlineLevel="1">
      <c r="B167" s="889" t="s">
        <v>1453</v>
      </c>
      <c r="C167" s="890">
        <f>IF(C120="Classroom-based training",SUM(C164:C166),C164)</f>
        <v>0</v>
      </c>
      <c r="E167" s="747"/>
      <c r="I167" s="835"/>
    </row>
    <row r="168" spans="2:9" s="689" customFormat="1" ht="15.75" outlineLevel="1" thickBot="1">
      <c r="B168" s="892" t="s">
        <v>1612</v>
      </c>
      <c r="C168" s="891">
        <f>C167+C124</f>
        <v>0</v>
      </c>
      <c r="E168" s="747"/>
      <c r="I168" s="835"/>
    </row>
    <row r="169" spans="2:9" s="689" customFormat="1" ht="15.75" outlineLevel="1" thickTop="1">
      <c r="C169" s="763"/>
      <c r="E169" s="747"/>
      <c r="I169" s="835"/>
    </row>
    <row r="170" spans="2:9" s="689" customFormat="1" outlineLevel="1">
      <c r="B170" s="699" t="s">
        <v>111</v>
      </c>
      <c r="C170" s="763"/>
      <c r="E170" s="747"/>
      <c r="I170" s="835"/>
    </row>
    <row r="171" spans="2:9" s="689" customFormat="1" outlineLevel="1">
      <c r="B171" s="689" t="s">
        <v>1447</v>
      </c>
      <c r="C171" s="763">
        <f>IFERROR(ROUNDUP((C133/$C$138),0),0)</f>
        <v>0</v>
      </c>
      <c r="E171" s="747"/>
      <c r="I171" s="835"/>
    </row>
    <row r="172" spans="2:9" s="689" customFormat="1" outlineLevel="1">
      <c r="B172" s="689" t="s">
        <v>1450</v>
      </c>
      <c r="C172" s="763">
        <f>$C$128*(C133*$C$136)</f>
        <v>0</v>
      </c>
      <c r="E172" s="747"/>
      <c r="I172" s="835"/>
    </row>
    <row r="173" spans="2:9" s="689" customFormat="1" ht="30" outlineLevel="1">
      <c r="B173" s="689" t="s">
        <v>1448</v>
      </c>
      <c r="C173" s="763">
        <f>($C$139*($C$140+$C$141))*$C$128*C171</f>
        <v>0</v>
      </c>
      <c r="E173" s="747"/>
      <c r="I173" s="835"/>
    </row>
    <row r="174" spans="2:9" s="689" customFormat="1" ht="30" outlineLevel="1">
      <c r="B174" s="689" t="s">
        <v>1449</v>
      </c>
      <c r="C174" s="893">
        <f>$C$142*$C$128*C171</f>
        <v>0</v>
      </c>
      <c r="E174" s="747"/>
      <c r="I174" s="835"/>
    </row>
    <row r="175" spans="2:9" s="689" customFormat="1" ht="30" outlineLevel="1">
      <c r="B175" s="889" t="s">
        <v>1452</v>
      </c>
      <c r="C175" s="890">
        <f>IF(C120="Classroom-based training",SUM(C172:C174),C172)</f>
        <v>0</v>
      </c>
      <c r="E175" s="747"/>
      <c r="I175" s="835"/>
    </row>
    <row r="176" spans="2:9" s="689" customFormat="1" ht="15.75" outlineLevel="1" thickBot="1">
      <c r="B176" s="892" t="s">
        <v>1613</v>
      </c>
      <c r="C176" s="891">
        <f>C175+C125</f>
        <v>0</v>
      </c>
      <c r="E176" s="747"/>
      <c r="I176" s="835"/>
    </row>
    <row r="177" spans="2:9" s="689" customFormat="1" ht="15.75" outlineLevel="1" thickTop="1">
      <c r="C177" s="763"/>
      <c r="E177" s="747"/>
      <c r="I177" s="835"/>
    </row>
    <row r="178" spans="2:9" s="689" customFormat="1" outlineLevel="1">
      <c r="B178" s="699" t="s">
        <v>112</v>
      </c>
      <c r="C178" s="763"/>
      <c r="E178" s="747"/>
      <c r="I178" s="835"/>
    </row>
    <row r="179" spans="2:9" s="689" customFormat="1" outlineLevel="1">
      <c r="B179" s="689" t="s">
        <v>1447</v>
      </c>
      <c r="C179" s="763">
        <f>IFERROR(ROUNDUP((C134/$C$138),0),0)</f>
        <v>0</v>
      </c>
      <c r="E179" s="747"/>
      <c r="I179" s="835"/>
    </row>
    <row r="180" spans="2:9" s="689" customFormat="1" outlineLevel="1">
      <c r="B180" s="689" t="s">
        <v>1450</v>
      </c>
      <c r="C180" s="763">
        <f>$C$128*(C134*$C$136)</f>
        <v>0</v>
      </c>
      <c r="E180" s="747"/>
      <c r="I180" s="835"/>
    </row>
    <row r="181" spans="2:9" s="689" customFormat="1" ht="30" outlineLevel="1">
      <c r="B181" s="689" t="s">
        <v>1448</v>
      </c>
      <c r="C181" s="763">
        <f>($C$139*($C$140+$C$141))*$C$128*C179</f>
        <v>0</v>
      </c>
      <c r="E181" s="747"/>
      <c r="I181" s="835"/>
    </row>
    <row r="182" spans="2:9" s="689" customFormat="1" ht="30" outlineLevel="1">
      <c r="B182" s="689" t="s">
        <v>1449</v>
      </c>
      <c r="C182" s="893">
        <f>$C$142*$C$128*C179</f>
        <v>0</v>
      </c>
      <c r="E182" s="747"/>
      <c r="I182" s="835"/>
    </row>
    <row r="183" spans="2:9" s="689" customFormat="1" ht="30" outlineLevel="1">
      <c r="B183" s="889" t="s">
        <v>1451</v>
      </c>
      <c r="C183" s="890">
        <f>IF(C120="Classroom-based training",SUM(C180:C182),C180)</f>
        <v>0</v>
      </c>
      <c r="E183" s="747"/>
      <c r="I183" s="835"/>
    </row>
    <row r="184" spans="2:9" s="689" customFormat="1" ht="15.75" outlineLevel="1" thickBot="1">
      <c r="B184" s="892" t="s">
        <v>1614</v>
      </c>
      <c r="C184" s="891">
        <f>C183+C126</f>
        <v>0</v>
      </c>
      <c r="E184" s="747"/>
      <c r="I184" s="835"/>
    </row>
    <row r="185" spans="2:9" s="689" customFormat="1" ht="15.75" thickTop="1">
      <c r="C185" s="763"/>
      <c r="E185" s="747"/>
      <c r="I185" s="835"/>
    </row>
  </sheetData>
  <sheetProtection algorithmName="SHA-512" hashValue="OOvHXC61X13wZAfM1py3W3HEvHA5PRUsjgOKe0LjsrSBuEFBIRDYykDW/HgNq0GEKOCvdn+BCgGMgruXw6+nRQ==" saltValue="tncPqCTw1gvZ+5Rp6YTCsw==" spinCount="100000" sheet="1" formatColumns="0" formatRows="0"/>
  <mergeCells count="16">
    <mergeCell ref="E94:E98"/>
    <mergeCell ref="E103:E107"/>
    <mergeCell ref="E109:E113"/>
    <mergeCell ref="E122:E126"/>
    <mergeCell ref="E130:E134"/>
    <mergeCell ref="B2:E2"/>
    <mergeCell ref="E76:E80"/>
    <mergeCell ref="E85:E89"/>
    <mergeCell ref="E12:E16"/>
    <mergeCell ref="E20:E24"/>
    <mergeCell ref="E61:E65"/>
    <mergeCell ref="E43:E47"/>
    <mergeCell ref="E36:E40"/>
    <mergeCell ref="E28:E32"/>
    <mergeCell ref="E54:E58"/>
    <mergeCell ref="E70:E74"/>
  </mergeCells>
  <conditionalFormatting sqref="B138:B142">
    <cfRule type="expression" dxfId="91" priority="2" stopIfTrue="1">
      <formula>$C$120&lt;&gt;"Classroom-based training"</formula>
    </cfRule>
  </conditionalFormatting>
  <conditionalFormatting sqref="C138:C142">
    <cfRule type="expression" dxfId="90" priority="1">
      <formula>$C$120&lt;&gt;"Classroom-based training"</formula>
    </cfRule>
  </conditionalFormatting>
  <dataValidations count="3">
    <dataValidation allowBlank="1" sqref="C69:C74 C93:C98 C84:C89" xr:uid="{EF5C5177-9356-4B52-AD98-4528EC587FB3}"/>
    <dataValidation type="whole" allowBlank="1" showInputMessage="1" showErrorMessage="1" error="Entry must be a whole number. " sqref="C128" xr:uid="{F36CA2C1-FA0F-412E-ACA6-3F8879496969}">
      <formula1>0</formula1>
      <formula2>10000000</formula2>
    </dataValidation>
    <dataValidation type="textLength" allowBlank="1" showInputMessage="1" showErrorMessage="1" error="You can only enter Yes or No in this cell." sqref="C9" xr:uid="{FB5AE7FC-AF90-43AC-80F0-ECA1C1EEBB58}">
      <formula1>2</formula1>
      <formula2>3</formula2>
    </dataValidation>
  </dataValidations>
  <hyperlinks>
    <hyperlink ref="F19" r:id="rId1" xr:uid="{C62059E2-4614-4BE8-A151-3BCC8F6BE4E4}"/>
    <hyperlink ref="F27" r:id="rId2" xr:uid="{23542F33-8DDE-48CE-BF9C-A77961438139}"/>
    <hyperlink ref="F35" r:id="rId3" xr:uid="{56D8CCF5-04F6-49D5-A1AA-DCE86ABA836C}"/>
    <hyperlink ref="F53" r:id="rId4" xr:uid="{D84E2865-172E-4070-8C8F-7EBD32D89FBE}"/>
    <hyperlink ref="F60" r:id="rId5" xr:uid="{01DE76FE-582E-4E5A-98C8-7EB314A20521}"/>
    <hyperlink ref="F69" r:id="rId6" xr:uid="{2A6DF828-64B4-4EBC-8A6F-F99C55F79718}"/>
    <hyperlink ref="F83" r:id="rId7" xr:uid="{B154A9E4-E84E-4B54-AAFD-00BFBF07887D}"/>
    <hyperlink ref="F92" r:id="rId8" xr:uid="{48F208D1-B8AF-4895-8673-28CCB32E79BB}"/>
    <hyperlink ref="F101" r:id="rId9" xr:uid="{96691F80-D417-4A8B-B4D0-0BEBF209FC91}"/>
    <hyperlink ref="F102" r:id="rId10" xr:uid="{BD90CB28-0D08-42DA-8C51-2AAE94B3DE58}"/>
    <hyperlink ref="F108" r:id="rId11" xr:uid="{7E0E4DA2-FE65-463F-B151-BD7C6ECFC156}"/>
    <hyperlink ref="F120" r:id="rId12" xr:uid="{50B9BE1E-2B4C-4FA9-B1F4-EF68084BA416}"/>
    <hyperlink ref="B1" location="Menu!D10" tooltip="Menu" display="&lt;&lt; Menu" xr:uid="{CC5FA0B8-B49E-BC41-A067-BA6C4B7F8C8C}"/>
  </hyperlinks>
  <pageMargins left="0.7" right="0.7" top="0.75" bottom="0.75" header="0.3" footer="0.3"/>
  <pageSetup orientation="portrait" r:id="rId13"/>
  <drawing r:id="rId14"/>
  <extLst>
    <ext xmlns:x14="http://schemas.microsoft.com/office/spreadsheetml/2009/9/main" uri="{CCE6A557-97BC-4b89-ADB6-D9C93CAAB3DF}">
      <x14:dataValidations xmlns:xm="http://schemas.microsoft.com/office/excel/2006/main" count="2">
        <x14:dataValidation type="list" allowBlank="1" showInputMessage="1" showErrorMessage="1" error="You can only enter Yes or No in this cell." xr:uid="{259367F1-5C77-4CCE-BD90-0F03CD80BC91}">
          <x14:formula1>
            <xm:f>'Value lists'!$A$1:$A$2</xm:f>
          </x14:formula1>
          <xm:sqref>C50 C8</xm:sqref>
        </x14:dataValidation>
        <x14:dataValidation type="list" allowBlank="1" showInputMessage="1" showErrorMessage="1" xr:uid="{E4DC3314-3E8D-4B0E-8C26-177C72A786E9}">
          <x14:formula1>
            <xm:f>'Value lists'!$B$1:$B$3</xm:f>
          </x14:formula1>
          <xm:sqref>C120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D42A1-0CB1-1149-887C-D89A3E88C3F0}">
  <sheetPr codeName="Sheet7">
    <tabColor theme="9" tint="-0.249977111117893"/>
  </sheetPr>
  <dimension ref="A1:S296"/>
  <sheetViews>
    <sheetView showGridLines="0" zoomScale="80" zoomScaleNormal="80" workbookViewId="0">
      <pane ySplit="4" topLeftCell="A5" activePane="bottomLeft" state="frozen"/>
      <selection activeCell="C284" sqref="C284"/>
      <selection pane="bottomLeft" activeCell="C8" sqref="C8"/>
    </sheetView>
  </sheetViews>
  <sheetFormatPr defaultColWidth="10.85546875" defaultRowHeight="15" outlineLevelRow="1" outlineLevelCol="1"/>
  <cols>
    <col min="1" max="1" width="2" style="698" customWidth="1"/>
    <col min="2" max="2" width="68.42578125" style="698" customWidth="1"/>
    <col min="3" max="4" width="20" style="780" customWidth="1"/>
    <col min="5" max="5" width="80" style="698" customWidth="1"/>
    <col min="6" max="6" width="42.5703125" style="698" hidden="1" customWidth="1" outlineLevel="1"/>
    <col min="7" max="7" width="10.85546875" style="698" collapsed="1"/>
    <col min="8" max="8" width="10.85546875" style="698"/>
    <col min="9" max="9" width="11.5703125" style="698" bestFit="1" customWidth="1"/>
    <col min="10" max="15" width="10.85546875" style="698"/>
    <col min="16" max="16" width="26.42578125" style="698" bestFit="1" customWidth="1"/>
    <col min="17" max="17" width="10.85546875" style="698"/>
    <col min="18" max="18" width="21.85546875" style="698" bestFit="1" customWidth="1"/>
    <col min="19" max="19" width="10.85546875" style="698"/>
    <col min="20" max="20" width="27.5703125" style="698" customWidth="1"/>
    <col min="21" max="16384" width="10.85546875" style="698"/>
  </cols>
  <sheetData>
    <row r="1" spans="1:19">
      <c r="A1" s="689"/>
      <c r="B1" s="753" t="s">
        <v>1621</v>
      </c>
      <c r="C1" s="763"/>
      <c r="D1" s="763"/>
      <c r="E1" s="689"/>
      <c r="F1" s="689"/>
    </row>
    <row r="2" spans="1:19" ht="32.1" customHeight="1">
      <c r="A2" s="689"/>
      <c r="B2" s="1014" t="s">
        <v>992</v>
      </c>
      <c r="C2" s="1015"/>
      <c r="D2" s="1015"/>
      <c r="E2" s="1016"/>
      <c r="F2" s="764"/>
    </row>
    <row r="4" spans="1:19" ht="32.1" customHeight="1">
      <c r="C4" s="802" t="s">
        <v>993</v>
      </c>
      <c r="D4" s="768" t="s">
        <v>1629</v>
      </c>
      <c r="E4" s="803" t="s">
        <v>995</v>
      </c>
      <c r="F4" s="770" t="s">
        <v>958</v>
      </c>
    </row>
    <row r="5" spans="1:19" s="689" customFormat="1" ht="63.95" customHeight="1">
      <c r="B5" s="771" t="s">
        <v>656</v>
      </c>
      <c r="C5" s="804"/>
      <c r="D5" s="895"/>
      <c r="E5" s="805" t="s">
        <v>1594</v>
      </c>
      <c r="F5" s="805"/>
      <c r="I5" s="888"/>
    </row>
    <row r="6" spans="1:19" s="689" customFormat="1">
      <c r="C6" s="763"/>
      <c r="D6" s="763"/>
      <c r="H6" s="698"/>
      <c r="I6" s="698"/>
      <c r="J6" s="698"/>
      <c r="K6" s="698"/>
      <c r="L6" s="698"/>
      <c r="M6" s="698"/>
      <c r="N6" s="698"/>
      <c r="O6" s="698"/>
      <c r="P6" s="698"/>
      <c r="Q6" s="698"/>
      <c r="R6" s="698"/>
      <c r="S6" s="698"/>
    </row>
    <row r="7" spans="1:19">
      <c r="B7" s="855" t="s">
        <v>1658</v>
      </c>
      <c r="C7" s="808"/>
      <c r="D7" s="823"/>
      <c r="E7" s="826"/>
      <c r="F7" s="860"/>
      <c r="H7" s="896"/>
    </row>
    <row r="8" spans="1:19" s="689" customFormat="1" ht="21" customHeight="1">
      <c r="B8" s="868" t="s">
        <v>1413</v>
      </c>
      <c r="C8" s="897"/>
      <c r="D8" s="898">
        <f>1/6</f>
        <v>0.16666666666666666</v>
      </c>
      <c r="E8" s="1008" t="s">
        <v>1542</v>
      </c>
      <c r="F8" s="690" t="s">
        <v>957</v>
      </c>
      <c r="H8" s="698"/>
      <c r="I8" s="698"/>
      <c r="J8" s="698"/>
      <c r="K8" s="698"/>
      <c r="L8" s="698"/>
      <c r="M8" s="698"/>
      <c r="N8" s="698"/>
      <c r="O8" s="698"/>
      <c r="P8" s="698"/>
      <c r="Q8" s="698"/>
      <c r="R8" s="899"/>
      <c r="S8" s="698"/>
    </row>
    <row r="9" spans="1:19" s="689" customFormat="1" ht="21" customHeight="1">
      <c r="B9" s="868" t="s">
        <v>1414</v>
      </c>
      <c r="C9" s="900"/>
      <c r="D9" s="901">
        <f>1/4</f>
        <v>0.25</v>
      </c>
      <c r="E9" s="1009"/>
      <c r="F9" s="690"/>
      <c r="H9" s="698"/>
      <c r="I9" s="698"/>
      <c r="J9" s="698"/>
      <c r="K9" s="698"/>
      <c r="L9" s="698"/>
      <c r="M9" s="698"/>
      <c r="N9" s="698"/>
      <c r="O9" s="698"/>
      <c r="P9" s="698"/>
      <c r="Q9" s="698"/>
      <c r="R9" s="899"/>
      <c r="S9" s="698"/>
    </row>
    <row r="10" spans="1:19" s="689" customFormat="1" ht="21" customHeight="1">
      <c r="B10" s="868" t="s">
        <v>1415</v>
      </c>
      <c r="C10" s="900"/>
      <c r="D10" s="901">
        <f>1/4</f>
        <v>0.25</v>
      </c>
      <c r="E10" s="1009"/>
      <c r="F10" s="690"/>
      <c r="H10" s="698"/>
      <c r="I10" s="698"/>
      <c r="J10" s="698"/>
      <c r="K10" s="698"/>
      <c r="L10" s="698"/>
      <c r="M10" s="698"/>
      <c r="N10" s="698"/>
      <c r="O10" s="698"/>
      <c r="P10" s="698"/>
      <c r="Q10" s="698"/>
      <c r="R10" s="899"/>
      <c r="S10" s="698"/>
    </row>
    <row r="11" spans="1:19" s="689" customFormat="1" ht="21" customHeight="1">
      <c r="B11" s="868" t="s">
        <v>1734</v>
      </c>
      <c r="C11" s="900"/>
      <c r="D11" s="901">
        <f>1/3</f>
        <v>0.33333333333333331</v>
      </c>
      <c r="E11" s="1009"/>
      <c r="F11" s="690"/>
      <c r="H11" s="698"/>
      <c r="I11" s="698"/>
      <c r="J11" s="698"/>
      <c r="K11" s="698"/>
      <c r="L11" s="698"/>
      <c r="M11" s="698"/>
      <c r="N11" s="698"/>
      <c r="O11" s="698"/>
      <c r="P11" s="698"/>
      <c r="Q11" s="698"/>
      <c r="R11" s="899"/>
      <c r="S11" s="698"/>
    </row>
    <row r="12" spans="1:19" s="689" customFormat="1" ht="21" customHeight="1">
      <c r="B12" s="868" t="s">
        <v>1416</v>
      </c>
      <c r="C12" s="900"/>
      <c r="D12" s="901">
        <f>1/10</f>
        <v>0.1</v>
      </c>
      <c r="E12" s="1013"/>
      <c r="F12" s="690"/>
      <c r="H12" s="698"/>
      <c r="I12" s="698"/>
      <c r="J12" s="698"/>
      <c r="K12" s="698"/>
      <c r="L12" s="698"/>
      <c r="M12" s="698"/>
      <c r="N12" s="698"/>
      <c r="O12" s="698"/>
      <c r="P12" s="698"/>
      <c r="Q12" s="698"/>
      <c r="R12" s="899"/>
      <c r="S12" s="698"/>
    </row>
    <row r="13" spans="1:19" s="689" customFormat="1" ht="15.95" customHeight="1">
      <c r="B13" s="868"/>
      <c r="C13" s="902"/>
      <c r="D13" s="903"/>
      <c r="E13" s="778"/>
      <c r="F13" s="690"/>
      <c r="H13" s="698"/>
      <c r="I13" s="698"/>
      <c r="J13" s="698"/>
      <c r="K13" s="698"/>
      <c r="L13" s="698"/>
      <c r="M13" s="698"/>
      <c r="N13" s="698"/>
      <c r="O13" s="698"/>
      <c r="P13" s="698"/>
      <c r="Q13" s="698"/>
      <c r="R13" s="899"/>
      <c r="S13" s="698"/>
    </row>
    <row r="14" spans="1:19" s="689" customFormat="1" ht="15.95" customHeight="1">
      <c r="B14" s="868" t="s">
        <v>1535</v>
      </c>
      <c r="C14" s="817">
        <f>SUM(C15:C19)</f>
        <v>0</v>
      </c>
      <c r="D14" s="904" t="s">
        <v>1388</v>
      </c>
      <c r="E14" s="1008" t="s">
        <v>1540</v>
      </c>
      <c r="F14" s="690"/>
      <c r="H14" s="698"/>
      <c r="I14" s="698"/>
      <c r="J14" s="698"/>
      <c r="K14" s="698"/>
      <c r="L14" s="698"/>
      <c r="M14" s="698"/>
      <c r="N14" s="698"/>
      <c r="O14" s="698"/>
      <c r="P14" s="698"/>
      <c r="Q14" s="698"/>
      <c r="R14" s="899"/>
      <c r="S14" s="698"/>
    </row>
    <row r="15" spans="1:19" s="689" customFormat="1" ht="15.95" hidden="1" customHeight="1">
      <c r="B15" s="765" t="s">
        <v>1427</v>
      </c>
      <c r="C15" s="817">
        <f>$C8*SUM('Deployment costs'!C12)</f>
        <v>0</v>
      </c>
      <c r="D15" s="904" t="s">
        <v>1388</v>
      </c>
      <c r="E15" s="1009"/>
      <c r="F15" s="690"/>
      <c r="H15" s="698"/>
      <c r="I15" s="698"/>
      <c r="J15" s="698"/>
      <c r="K15" s="698"/>
      <c r="L15" s="698"/>
      <c r="M15" s="698"/>
      <c r="N15" s="698"/>
      <c r="O15" s="698"/>
      <c r="P15" s="698"/>
      <c r="Q15" s="698"/>
      <c r="R15" s="899"/>
      <c r="S15" s="698"/>
    </row>
    <row r="16" spans="1:19" s="689" customFormat="1" ht="15.95" hidden="1" customHeight="1">
      <c r="B16" s="765" t="s">
        <v>1428</v>
      </c>
      <c r="C16" s="817">
        <f>$C8*SUM('Deployment costs'!C12:C13)</f>
        <v>0</v>
      </c>
      <c r="D16" s="904" t="s">
        <v>1388</v>
      </c>
      <c r="E16" s="1009"/>
      <c r="F16" s="690"/>
      <c r="H16" s="698"/>
      <c r="I16" s="698"/>
      <c r="J16" s="698"/>
      <c r="K16" s="698"/>
      <c r="L16" s="698"/>
      <c r="M16" s="698"/>
      <c r="N16" s="698"/>
      <c r="O16" s="698"/>
      <c r="P16" s="698"/>
      <c r="Q16" s="698"/>
      <c r="R16" s="899"/>
      <c r="S16" s="698"/>
    </row>
    <row r="17" spans="2:19" s="689" customFormat="1" ht="15.95" hidden="1" customHeight="1">
      <c r="B17" s="765" t="s">
        <v>1429</v>
      </c>
      <c r="C17" s="817">
        <f>$C8*SUM('Deployment costs'!C12:C14)</f>
        <v>0</v>
      </c>
      <c r="D17" s="904" t="s">
        <v>1388</v>
      </c>
      <c r="E17" s="1009"/>
      <c r="F17" s="690"/>
      <c r="H17" s="698"/>
      <c r="I17" s="698"/>
      <c r="J17" s="698"/>
      <c r="K17" s="698"/>
      <c r="L17" s="698"/>
      <c r="M17" s="698"/>
      <c r="N17" s="698"/>
      <c r="O17" s="698"/>
      <c r="P17" s="698"/>
      <c r="Q17" s="698"/>
      <c r="R17" s="899"/>
      <c r="S17" s="698"/>
    </row>
    <row r="18" spans="2:19" s="689" customFormat="1" ht="15.95" hidden="1" customHeight="1">
      <c r="B18" s="765" t="s">
        <v>1430</v>
      </c>
      <c r="C18" s="817">
        <f>$C8*SUM('Deployment costs'!C12:C15)</f>
        <v>0</v>
      </c>
      <c r="D18" s="904" t="s">
        <v>1388</v>
      </c>
      <c r="E18" s="1009"/>
      <c r="F18" s="690"/>
      <c r="H18" s="698"/>
      <c r="I18" s="698"/>
      <c r="J18" s="698"/>
      <c r="K18" s="698"/>
      <c r="L18" s="698"/>
      <c r="M18" s="698"/>
      <c r="N18" s="698"/>
      <c r="O18" s="698"/>
      <c r="P18" s="698"/>
      <c r="Q18" s="698"/>
      <c r="R18" s="899"/>
      <c r="S18" s="698"/>
    </row>
    <row r="19" spans="2:19" s="689" customFormat="1" ht="15.95" hidden="1" customHeight="1">
      <c r="B19" s="765" t="s">
        <v>1431</v>
      </c>
      <c r="C19" s="817">
        <f>$C8*SUM('Deployment costs'!C12:C16)</f>
        <v>0</v>
      </c>
      <c r="D19" s="905" t="s">
        <v>1388</v>
      </c>
      <c r="E19" s="1009"/>
      <c r="F19" s="690"/>
      <c r="H19" s="698"/>
      <c r="I19" s="698"/>
      <c r="J19" s="698"/>
      <c r="K19" s="698"/>
      <c r="L19" s="698"/>
      <c r="M19" s="698"/>
      <c r="N19" s="698"/>
      <c r="O19" s="698"/>
      <c r="P19" s="698"/>
      <c r="Q19" s="698"/>
      <c r="R19" s="698"/>
      <c r="S19" s="698"/>
    </row>
    <row r="20" spans="2:19" s="689" customFormat="1" ht="15.95" hidden="1" customHeight="1">
      <c r="B20" s="765"/>
      <c r="C20" s="906"/>
      <c r="D20" s="904"/>
      <c r="E20" s="1009"/>
      <c r="F20" s="690"/>
      <c r="H20" s="698"/>
      <c r="I20" s="698"/>
      <c r="J20" s="698"/>
      <c r="K20" s="698"/>
      <c r="L20" s="698"/>
      <c r="M20" s="698"/>
      <c r="N20" s="698"/>
      <c r="O20" s="698"/>
      <c r="P20" s="698"/>
      <c r="Q20" s="698"/>
      <c r="R20" s="698"/>
      <c r="S20" s="698"/>
    </row>
    <row r="21" spans="2:19" s="689" customFormat="1" ht="15.95" customHeight="1">
      <c r="B21" s="868" t="s">
        <v>1536</v>
      </c>
      <c r="C21" s="817">
        <f>SUM(C22:C26)</f>
        <v>0</v>
      </c>
      <c r="D21" s="904" t="s">
        <v>1388</v>
      </c>
      <c r="E21" s="1009"/>
      <c r="F21" s="690"/>
      <c r="H21" s="698"/>
      <c r="I21" s="698"/>
      <c r="J21" s="698"/>
      <c r="K21" s="698"/>
      <c r="L21" s="698"/>
      <c r="M21" s="698"/>
      <c r="N21" s="698"/>
      <c r="O21" s="698"/>
      <c r="P21" s="698"/>
      <c r="Q21" s="698"/>
      <c r="R21" s="698"/>
      <c r="S21" s="698"/>
    </row>
    <row r="22" spans="2:19" s="689" customFormat="1" ht="15.95" hidden="1" customHeight="1">
      <c r="B22" s="765" t="s">
        <v>1427</v>
      </c>
      <c r="C22" s="906">
        <f>$C9*SUM('Deployment costs'!C20)</f>
        <v>0</v>
      </c>
      <c r="D22" s="904" t="s">
        <v>1388</v>
      </c>
      <c r="E22" s="1009"/>
      <c r="F22" s="690"/>
      <c r="H22" s="698"/>
      <c r="I22" s="698"/>
      <c r="J22" s="698"/>
      <c r="K22" s="698"/>
      <c r="L22" s="698"/>
      <c r="M22" s="698"/>
      <c r="N22" s="698"/>
      <c r="O22" s="698"/>
      <c r="P22" s="698"/>
      <c r="Q22" s="698"/>
      <c r="R22" s="698"/>
      <c r="S22" s="698"/>
    </row>
    <row r="23" spans="2:19" s="689" customFormat="1" ht="15.95" hidden="1" customHeight="1">
      <c r="B23" s="765" t="s">
        <v>1428</v>
      </c>
      <c r="C23" s="906">
        <f>$C9*SUM('Deployment costs'!C20:C21)</f>
        <v>0</v>
      </c>
      <c r="D23" s="904" t="s">
        <v>1388</v>
      </c>
      <c r="E23" s="1009"/>
      <c r="F23" s="690"/>
      <c r="H23" s="698"/>
      <c r="I23" s="698"/>
      <c r="J23" s="698"/>
      <c r="K23" s="698"/>
      <c r="L23" s="698"/>
      <c r="M23" s="698"/>
      <c r="N23" s="698"/>
      <c r="O23" s="698"/>
      <c r="P23" s="698"/>
      <c r="Q23" s="698"/>
      <c r="R23" s="698"/>
      <c r="S23" s="698"/>
    </row>
    <row r="24" spans="2:19" s="689" customFormat="1" ht="15.95" hidden="1" customHeight="1">
      <c r="B24" s="765" t="s">
        <v>1429</v>
      </c>
      <c r="C24" s="906">
        <f>$C9*SUM('Deployment costs'!C20:C22)</f>
        <v>0</v>
      </c>
      <c r="D24" s="904" t="s">
        <v>1388</v>
      </c>
      <c r="E24" s="1009"/>
      <c r="F24" s="690"/>
      <c r="H24" s="698"/>
      <c r="I24" s="698"/>
      <c r="J24" s="698"/>
      <c r="K24" s="698"/>
      <c r="L24" s="698"/>
      <c r="M24" s="698"/>
      <c r="N24" s="698"/>
      <c r="O24" s="698"/>
      <c r="P24" s="698"/>
      <c r="Q24" s="698"/>
      <c r="R24" s="698"/>
      <c r="S24" s="698"/>
    </row>
    <row r="25" spans="2:19" s="689" customFormat="1" ht="15.95" hidden="1" customHeight="1">
      <c r="B25" s="765" t="s">
        <v>1430</v>
      </c>
      <c r="C25" s="906">
        <f>$C9*SUM('Deployment costs'!C20:C23)</f>
        <v>0</v>
      </c>
      <c r="D25" s="904" t="s">
        <v>1388</v>
      </c>
      <c r="E25" s="1009"/>
      <c r="F25" s="690"/>
      <c r="H25" s="698"/>
      <c r="I25" s="698"/>
      <c r="J25" s="698"/>
      <c r="K25" s="698"/>
      <c r="L25" s="698"/>
      <c r="M25" s="698"/>
      <c r="N25" s="698"/>
      <c r="O25" s="698"/>
      <c r="P25" s="698"/>
      <c r="Q25" s="698"/>
      <c r="R25" s="698"/>
      <c r="S25" s="698"/>
    </row>
    <row r="26" spans="2:19" s="689" customFormat="1" ht="15.95" hidden="1" customHeight="1">
      <c r="B26" s="765" t="s">
        <v>1431</v>
      </c>
      <c r="C26" s="906">
        <f>$C9*SUM('Deployment costs'!C20:C24)</f>
        <v>0</v>
      </c>
      <c r="D26" s="905" t="s">
        <v>1388</v>
      </c>
      <c r="E26" s="1009"/>
      <c r="F26" s="690"/>
      <c r="H26" s="698"/>
      <c r="I26" s="698"/>
      <c r="J26" s="698"/>
      <c r="K26" s="698"/>
      <c r="L26" s="698"/>
      <c r="M26" s="698"/>
      <c r="N26" s="698"/>
      <c r="O26" s="698"/>
      <c r="P26" s="698"/>
      <c r="Q26" s="698"/>
      <c r="R26" s="698"/>
      <c r="S26" s="698"/>
    </row>
    <row r="27" spans="2:19" s="689" customFormat="1" ht="15.95" hidden="1" customHeight="1">
      <c r="B27" s="765"/>
      <c r="C27" s="906"/>
      <c r="D27" s="907"/>
      <c r="E27" s="1009"/>
      <c r="F27" s="690"/>
      <c r="H27" s="698"/>
      <c r="I27" s="698"/>
      <c r="J27" s="698"/>
      <c r="K27" s="698"/>
      <c r="L27" s="698"/>
      <c r="M27" s="698"/>
      <c r="N27" s="698"/>
      <c r="O27" s="698"/>
      <c r="P27" s="698"/>
      <c r="Q27" s="698"/>
      <c r="R27" s="698"/>
      <c r="S27" s="698"/>
    </row>
    <row r="28" spans="2:19" s="689" customFormat="1" ht="15.95" customHeight="1">
      <c r="B28" s="868" t="s">
        <v>1537</v>
      </c>
      <c r="C28" s="817">
        <f>SUM(C29:C33)</f>
        <v>0</v>
      </c>
      <c r="D28" s="904" t="s">
        <v>1388</v>
      </c>
      <c r="E28" s="1009"/>
      <c r="F28" s="690"/>
      <c r="H28" s="698"/>
      <c r="I28" s="698"/>
      <c r="J28" s="698"/>
      <c r="K28" s="698"/>
      <c r="L28" s="698"/>
      <c r="M28" s="698"/>
      <c r="N28" s="698"/>
      <c r="O28" s="698"/>
      <c r="P28" s="698"/>
      <c r="Q28" s="698"/>
      <c r="R28" s="698"/>
      <c r="S28" s="698"/>
    </row>
    <row r="29" spans="2:19" s="689" customFormat="1" ht="15.95" hidden="1" customHeight="1">
      <c r="B29" s="908" t="s">
        <v>1427</v>
      </c>
      <c r="C29" s="906">
        <f>$C$10*SUM('Deployment costs'!C28)</f>
        <v>0</v>
      </c>
      <c r="D29" s="904" t="s">
        <v>1388</v>
      </c>
      <c r="E29" s="1009"/>
      <c r="F29" s="690"/>
      <c r="H29" s="698"/>
      <c r="I29" s="698"/>
      <c r="J29" s="698"/>
      <c r="K29" s="698"/>
      <c r="L29" s="698"/>
      <c r="M29" s="698"/>
      <c r="N29" s="698"/>
      <c r="O29" s="698"/>
      <c r="P29" s="698"/>
      <c r="Q29" s="698"/>
      <c r="R29" s="698"/>
      <c r="S29" s="698"/>
    </row>
    <row r="30" spans="2:19" s="689" customFormat="1" ht="15.95" hidden="1" customHeight="1">
      <c r="B30" s="908" t="s">
        <v>1428</v>
      </c>
      <c r="C30" s="906">
        <f>$C$10*SUM('Deployment costs'!C28:C29)</f>
        <v>0</v>
      </c>
      <c r="D30" s="904" t="s">
        <v>1388</v>
      </c>
      <c r="E30" s="1009"/>
      <c r="F30" s="690"/>
      <c r="H30" s="698"/>
      <c r="I30" s="698"/>
      <c r="J30" s="698"/>
      <c r="K30" s="698"/>
      <c r="L30" s="698"/>
      <c r="M30" s="698"/>
      <c r="N30" s="698"/>
      <c r="O30" s="698"/>
      <c r="P30" s="698"/>
      <c r="Q30" s="698"/>
      <c r="R30" s="698"/>
      <c r="S30" s="698"/>
    </row>
    <row r="31" spans="2:19" s="689" customFormat="1" ht="15.95" hidden="1" customHeight="1">
      <c r="B31" s="908" t="s">
        <v>1429</v>
      </c>
      <c r="C31" s="906">
        <f>$C$10*SUM('Deployment costs'!C28:C30)</f>
        <v>0</v>
      </c>
      <c r="D31" s="904" t="s">
        <v>1388</v>
      </c>
      <c r="E31" s="1009"/>
      <c r="F31" s="690"/>
      <c r="H31" s="698"/>
      <c r="I31" s="698"/>
      <c r="J31" s="698"/>
      <c r="K31" s="698"/>
      <c r="L31" s="698"/>
      <c r="M31" s="698"/>
      <c r="N31" s="698"/>
      <c r="O31" s="698"/>
      <c r="P31" s="698"/>
      <c r="Q31" s="698"/>
      <c r="R31" s="698"/>
      <c r="S31" s="698"/>
    </row>
    <row r="32" spans="2:19" s="689" customFormat="1" ht="15.95" hidden="1" customHeight="1">
      <c r="B32" s="908" t="s">
        <v>1430</v>
      </c>
      <c r="C32" s="906">
        <f>$C$10*SUM('Deployment costs'!C28:C31)</f>
        <v>0</v>
      </c>
      <c r="D32" s="904" t="s">
        <v>1388</v>
      </c>
      <c r="E32" s="1009"/>
      <c r="F32" s="690"/>
      <c r="H32" s="698"/>
      <c r="I32" s="698"/>
      <c r="J32" s="698"/>
      <c r="K32" s="698"/>
      <c r="L32" s="698"/>
      <c r="M32" s="698"/>
      <c r="N32" s="698"/>
      <c r="O32" s="698"/>
      <c r="P32" s="698"/>
      <c r="Q32" s="698"/>
      <c r="R32" s="698"/>
      <c r="S32" s="698"/>
    </row>
    <row r="33" spans="2:19" s="689" customFormat="1" ht="15.95" hidden="1" customHeight="1">
      <c r="B33" s="908" t="s">
        <v>1431</v>
      </c>
      <c r="C33" s="906">
        <f>$C$10*SUM('Deployment costs'!C28:C32)</f>
        <v>0</v>
      </c>
      <c r="D33" s="905" t="s">
        <v>1388</v>
      </c>
      <c r="E33" s="1009"/>
      <c r="F33" s="690"/>
      <c r="H33" s="698"/>
      <c r="I33" s="698"/>
      <c r="J33" s="698"/>
      <c r="K33" s="698"/>
      <c r="L33" s="698"/>
      <c r="M33" s="698"/>
      <c r="N33" s="698"/>
      <c r="O33" s="698"/>
      <c r="P33" s="698"/>
      <c r="Q33" s="698"/>
      <c r="R33" s="698"/>
      <c r="S33" s="698"/>
    </row>
    <row r="34" spans="2:19" s="689" customFormat="1" ht="15.95" hidden="1" customHeight="1">
      <c r="B34" s="765"/>
      <c r="C34" s="906"/>
      <c r="D34" s="907"/>
      <c r="E34" s="1009"/>
      <c r="F34" s="690"/>
      <c r="H34" s="698"/>
      <c r="I34" s="698"/>
      <c r="J34" s="698"/>
      <c r="K34" s="698"/>
      <c r="L34" s="698"/>
      <c r="M34" s="698"/>
      <c r="N34" s="698"/>
      <c r="O34" s="698"/>
      <c r="P34" s="698"/>
      <c r="Q34" s="698"/>
      <c r="R34" s="698"/>
      <c r="S34" s="698"/>
    </row>
    <row r="35" spans="2:19" s="689" customFormat="1" ht="15.95" customHeight="1">
      <c r="B35" s="868" t="s">
        <v>1538</v>
      </c>
      <c r="C35" s="817">
        <f>SUM(C36:C40)</f>
        <v>0</v>
      </c>
      <c r="D35" s="904" t="s">
        <v>1388</v>
      </c>
      <c r="E35" s="1013"/>
      <c r="F35" s="690"/>
      <c r="H35" s="698"/>
      <c r="I35" s="698"/>
      <c r="J35" s="698"/>
      <c r="K35" s="698"/>
      <c r="L35" s="698"/>
      <c r="M35" s="698"/>
      <c r="N35" s="698"/>
      <c r="O35" s="698"/>
      <c r="P35" s="698"/>
      <c r="Q35" s="698"/>
      <c r="R35" s="698"/>
      <c r="S35" s="698"/>
    </row>
    <row r="36" spans="2:19" s="689" customFormat="1" ht="15.95" hidden="1" customHeight="1">
      <c r="B36" s="908" t="s">
        <v>1427</v>
      </c>
      <c r="C36" s="906">
        <f>$C$11*SUM('Deployment costs'!C36)</f>
        <v>0</v>
      </c>
      <c r="D36" s="904" t="s">
        <v>1388</v>
      </c>
      <c r="E36" s="909"/>
      <c r="F36" s="690"/>
      <c r="H36" s="698"/>
      <c r="I36" s="698"/>
      <c r="J36" s="698"/>
      <c r="K36" s="698"/>
      <c r="L36" s="698"/>
      <c r="M36" s="698"/>
      <c r="N36" s="698"/>
      <c r="O36" s="698"/>
      <c r="P36" s="698"/>
      <c r="Q36" s="698"/>
      <c r="R36" s="698"/>
      <c r="S36" s="698"/>
    </row>
    <row r="37" spans="2:19" s="689" customFormat="1" ht="15.95" hidden="1" customHeight="1">
      <c r="B37" s="908" t="s">
        <v>1428</v>
      </c>
      <c r="C37" s="906">
        <f>$C$11*SUM('Deployment costs'!C36:C37)</f>
        <v>0</v>
      </c>
      <c r="D37" s="904" t="s">
        <v>1388</v>
      </c>
      <c r="E37" s="909"/>
      <c r="F37" s="690"/>
      <c r="H37" s="698"/>
      <c r="I37" s="698"/>
      <c r="J37" s="698"/>
      <c r="K37" s="698"/>
      <c r="L37" s="698"/>
      <c r="M37" s="698"/>
      <c r="N37" s="698"/>
      <c r="O37" s="698"/>
      <c r="P37" s="698"/>
      <c r="Q37" s="698"/>
      <c r="R37" s="698"/>
      <c r="S37" s="698"/>
    </row>
    <row r="38" spans="2:19" s="689" customFormat="1" ht="15.95" hidden="1" customHeight="1">
      <c r="B38" s="908" t="s">
        <v>1429</v>
      </c>
      <c r="C38" s="906">
        <f>$C$11*SUM('Deployment costs'!C36:C38)</f>
        <v>0</v>
      </c>
      <c r="D38" s="904" t="s">
        <v>1388</v>
      </c>
      <c r="E38" s="909"/>
      <c r="F38" s="690"/>
      <c r="H38" s="698"/>
      <c r="I38" s="698"/>
      <c r="J38" s="698"/>
      <c r="K38" s="698"/>
      <c r="L38" s="698"/>
      <c r="M38" s="698"/>
      <c r="N38" s="698"/>
      <c r="O38" s="698"/>
      <c r="P38" s="698"/>
      <c r="Q38" s="698"/>
      <c r="R38" s="698"/>
      <c r="S38" s="698"/>
    </row>
    <row r="39" spans="2:19" s="689" customFormat="1" ht="15.95" hidden="1" customHeight="1">
      <c r="B39" s="908" t="s">
        <v>1430</v>
      </c>
      <c r="C39" s="906">
        <f>$C$11*SUM('Deployment costs'!C36:C39)</f>
        <v>0</v>
      </c>
      <c r="D39" s="904" t="s">
        <v>1388</v>
      </c>
      <c r="E39" s="909"/>
      <c r="F39" s="690"/>
      <c r="H39" s="698"/>
      <c r="I39" s="698"/>
      <c r="J39" s="698"/>
      <c r="K39" s="698"/>
      <c r="L39" s="698"/>
      <c r="M39" s="698"/>
      <c r="N39" s="698"/>
      <c r="O39" s="698"/>
      <c r="P39" s="698"/>
      <c r="Q39" s="698"/>
      <c r="R39" s="698"/>
      <c r="S39" s="698"/>
    </row>
    <row r="40" spans="2:19" s="689" customFormat="1" ht="15.95" hidden="1" customHeight="1">
      <c r="B40" s="908" t="s">
        <v>1431</v>
      </c>
      <c r="C40" s="906">
        <f>$C$11*SUM('Deployment costs'!C36:C40)</f>
        <v>0</v>
      </c>
      <c r="D40" s="905" t="s">
        <v>1388</v>
      </c>
      <c r="E40" s="909"/>
      <c r="F40" s="690"/>
      <c r="H40" s="698"/>
      <c r="I40" s="698"/>
      <c r="J40" s="698"/>
      <c r="K40" s="698"/>
      <c r="L40" s="698"/>
      <c r="M40" s="698"/>
      <c r="N40" s="698"/>
      <c r="O40" s="698"/>
      <c r="P40" s="698"/>
      <c r="Q40" s="698"/>
      <c r="R40" s="698"/>
      <c r="S40" s="698"/>
    </row>
    <row r="41" spans="2:19" s="689" customFormat="1" ht="15.95" hidden="1" customHeight="1">
      <c r="B41" s="765"/>
      <c r="C41" s="906"/>
      <c r="D41" s="905" t="s">
        <v>1388</v>
      </c>
      <c r="E41" s="909"/>
      <c r="F41" s="690"/>
      <c r="H41" s="698"/>
      <c r="I41" s="698"/>
      <c r="J41" s="698"/>
      <c r="K41" s="698"/>
      <c r="L41" s="698"/>
      <c r="M41" s="698"/>
      <c r="N41" s="698"/>
      <c r="O41" s="698"/>
      <c r="P41" s="698"/>
      <c r="Q41" s="698"/>
      <c r="R41" s="698"/>
      <c r="S41" s="698"/>
    </row>
    <row r="42" spans="2:19" s="689" customFormat="1" ht="15.95" hidden="1" customHeight="1">
      <c r="B42" s="868"/>
      <c r="C42" s="865"/>
      <c r="D42" s="910"/>
      <c r="E42" s="909"/>
      <c r="F42" s="690"/>
      <c r="H42" s="698"/>
      <c r="I42" s="698"/>
      <c r="J42" s="698"/>
      <c r="K42" s="698"/>
      <c r="L42" s="698"/>
      <c r="M42" s="698"/>
      <c r="N42" s="698"/>
      <c r="O42" s="698"/>
      <c r="P42" s="698"/>
      <c r="Q42" s="698"/>
      <c r="R42" s="698"/>
      <c r="S42" s="698"/>
    </row>
    <row r="43" spans="2:19" s="689" customFormat="1" ht="30" hidden="1">
      <c r="B43" s="765" t="s">
        <v>1217</v>
      </c>
      <c r="C43" s="911"/>
      <c r="D43" s="912"/>
      <c r="F43" s="690" t="s">
        <v>961</v>
      </c>
      <c r="H43" s="698"/>
      <c r="I43" s="698"/>
      <c r="J43" s="698"/>
      <c r="K43" s="698"/>
      <c r="L43" s="698"/>
      <c r="M43" s="698"/>
      <c r="N43" s="698"/>
      <c r="O43" s="698"/>
      <c r="P43" s="698"/>
      <c r="Q43" s="698"/>
      <c r="R43" s="698"/>
      <c r="S43" s="698"/>
    </row>
    <row r="44" spans="2:19" s="689" customFormat="1" ht="15.95" hidden="1" customHeight="1">
      <c r="B44" s="765" t="s">
        <v>1427</v>
      </c>
      <c r="C44" s="838">
        <f>$C8*'Deployment costs'!$C$10*SUM('Deployment costs'!C12)</f>
        <v>0</v>
      </c>
      <c r="D44" s="913"/>
      <c r="E44" s="1008" t="s">
        <v>1439</v>
      </c>
      <c r="F44" s="690"/>
      <c r="H44" s="698"/>
      <c r="I44" s="698"/>
      <c r="J44" s="698"/>
      <c r="K44" s="698"/>
      <c r="L44" s="698"/>
      <c r="M44" s="698"/>
      <c r="N44" s="698"/>
      <c r="O44" s="698"/>
      <c r="P44" s="698"/>
      <c r="Q44" s="698"/>
      <c r="R44" s="698"/>
      <c r="S44" s="698"/>
    </row>
    <row r="45" spans="2:19" s="689" customFormat="1" ht="15.95" hidden="1" customHeight="1">
      <c r="B45" s="765" t="s">
        <v>1428</v>
      </c>
      <c r="C45" s="838">
        <f>$C8*'Deployment costs'!$C$10*SUM('Deployment costs'!C12:C13)</f>
        <v>0</v>
      </c>
      <c r="D45" s="913"/>
      <c r="E45" s="1009"/>
      <c r="F45" s="690"/>
      <c r="H45" s="698"/>
      <c r="I45" s="698"/>
      <c r="J45" s="698"/>
      <c r="K45" s="698"/>
      <c r="L45" s="698"/>
      <c r="M45" s="698"/>
      <c r="N45" s="698"/>
      <c r="O45" s="698"/>
      <c r="P45" s="698"/>
      <c r="Q45" s="698"/>
      <c r="R45" s="698"/>
      <c r="S45" s="698"/>
    </row>
    <row r="46" spans="2:19" s="689" customFormat="1" hidden="1">
      <c r="B46" s="765" t="s">
        <v>1429</v>
      </c>
      <c r="C46" s="838">
        <f>$C8*'Deployment costs'!$C$10*SUM('Deployment costs'!C12:C14)</f>
        <v>0</v>
      </c>
      <c r="D46" s="913"/>
      <c r="E46" s="1009"/>
      <c r="F46" s="690"/>
      <c r="H46" s="698"/>
      <c r="I46" s="698"/>
      <c r="J46" s="698"/>
      <c r="K46" s="698"/>
      <c r="L46" s="698"/>
      <c r="M46" s="698"/>
      <c r="N46" s="698"/>
      <c r="O46" s="698"/>
      <c r="P46" s="698"/>
      <c r="Q46" s="698"/>
      <c r="R46" s="698"/>
      <c r="S46" s="698"/>
    </row>
    <row r="47" spans="2:19" s="689" customFormat="1" hidden="1">
      <c r="B47" s="765" t="s">
        <v>1430</v>
      </c>
      <c r="C47" s="838">
        <f>$C8*'Deployment costs'!$C$10*SUM('Deployment costs'!C12:C15)</f>
        <v>0</v>
      </c>
      <c r="D47" s="913"/>
      <c r="E47" s="1009"/>
      <c r="F47" s="690"/>
      <c r="H47" s="698"/>
      <c r="I47" s="698"/>
      <c r="J47" s="698"/>
      <c r="K47" s="698"/>
      <c r="L47" s="698"/>
      <c r="M47" s="698"/>
      <c r="N47" s="698"/>
      <c r="O47" s="698"/>
      <c r="P47" s="698"/>
      <c r="Q47" s="698"/>
      <c r="R47" s="698"/>
      <c r="S47" s="698"/>
    </row>
    <row r="48" spans="2:19" s="689" customFormat="1" hidden="1">
      <c r="B48" s="765" t="s">
        <v>1431</v>
      </c>
      <c r="C48" s="838">
        <f>$C8*'Deployment costs'!$C$10*SUM('Deployment costs'!C12:C16)</f>
        <v>0</v>
      </c>
      <c r="D48" s="913"/>
      <c r="E48" s="1013"/>
      <c r="F48" s="690"/>
      <c r="H48" s="698"/>
      <c r="I48" s="698"/>
      <c r="J48" s="698"/>
      <c r="K48" s="698"/>
      <c r="L48" s="698"/>
      <c r="M48" s="698"/>
      <c r="N48" s="698"/>
      <c r="O48" s="698"/>
      <c r="P48" s="698"/>
      <c r="Q48" s="698"/>
      <c r="R48" s="698"/>
      <c r="S48" s="698"/>
    </row>
    <row r="49" spans="2:19" s="689" customFormat="1" hidden="1">
      <c r="B49" s="765"/>
      <c r="C49" s="838"/>
      <c r="D49" s="818"/>
      <c r="E49" s="909"/>
      <c r="F49" s="690"/>
      <c r="H49" s="698"/>
      <c r="I49" s="698"/>
      <c r="J49" s="698"/>
      <c r="K49" s="698"/>
      <c r="L49" s="698"/>
      <c r="M49" s="698"/>
      <c r="N49" s="698"/>
      <c r="O49" s="698"/>
      <c r="P49" s="698"/>
      <c r="Q49" s="698"/>
      <c r="R49" s="698"/>
      <c r="S49" s="698"/>
    </row>
    <row r="50" spans="2:19" s="689" customFormat="1" hidden="1">
      <c r="B50" s="765" t="s">
        <v>1218</v>
      </c>
      <c r="C50" s="838"/>
      <c r="D50" s="818"/>
      <c r="F50" s="791"/>
      <c r="H50" s="698"/>
      <c r="I50" s="698"/>
      <c r="J50" s="698"/>
      <c r="K50" s="698"/>
      <c r="L50" s="698"/>
      <c r="M50" s="698"/>
      <c r="N50" s="698"/>
      <c r="O50" s="698"/>
      <c r="P50" s="698"/>
      <c r="Q50" s="698"/>
      <c r="R50" s="698"/>
      <c r="S50" s="698"/>
    </row>
    <row r="51" spans="2:19" s="689" customFormat="1" ht="15.95" hidden="1" customHeight="1">
      <c r="B51" s="765" t="s">
        <v>1427</v>
      </c>
      <c r="C51" s="838">
        <f>$C9*'Deployment costs'!$C$18*SUM('Deployment costs'!C20)</f>
        <v>0</v>
      </c>
      <c r="D51" s="913"/>
      <c r="E51" s="1008" t="s">
        <v>1438</v>
      </c>
      <c r="F51" s="791"/>
      <c r="H51" s="698"/>
      <c r="I51" s="698"/>
      <c r="J51" s="698"/>
      <c r="K51" s="698"/>
      <c r="L51" s="698"/>
      <c r="M51" s="698"/>
      <c r="N51" s="698"/>
      <c r="O51" s="698"/>
      <c r="P51" s="698"/>
      <c r="Q51" s="698"/>
      <c r="R51" s="698"/>
      <c r="S51" s="698"/>
    </row>
    <row r="52" spans="2:19" s="689" customFormat="1" hidden="1">
      <c r="B52" s="765" t="s">
        <v>1428</v>
      </c>
      <c r="C52" s="838">
        <f>$C9*'Deployment costs'!$C$18*SUM('Deployment costs'!C20:C21)</f>
        <v>0</v>
      </c>
      <c r="D52" s="913"/>
      <c r="E52" s="1009"/>
      <c r="F52" s="791"/>
      <c r="H52" s="698"/>
      <c r="I52" s="698"/>
      <c r="J52" s="698"/>
      <c r="K52" s="698"/>
      <c r="L52" s="698"/>
      <c r="M52" s="698"/>
      <c r="N52" s="698"/>
      <c r="O52" s="698"/>
      <c r="P52" s="698"/>
      <c r="Q52" s="698"/>
      <c r="R52" s="698"/>
      <c r="S52" s="698"/>
    </row>
    <row r="53" spans="2:19" s="689" customFormat="1" hidden="1">
      <c r="B53" s="765" t="s">
        <v>1429</v>
      </c>
      <c r="C53" s="838">
        <f>$C9*'Deployment costs'!$C$18*SUM('Deployment costs'!C20:C22)</f>
        <v>0</v>
      </c>
      <c r="D53" s="913"/>
      <c r="E53" s="1009"/>
      <c r="F53" s="791"/>
      <c r="H53" s="698"/>
      <c r="I53" s="698"/>
      <c r="J53" s="698"/>
      <c r="K53" s="698"/>
      <c r="L53" s="698"/>
      <c r="M53" s="698"/>
      <c r="N53" s="698"/>
      <c r="O53" s="698"/>
      <c r="P53" s="698"/>
      <c r="Q53" s="698"/>
      <c r="R53" s="698"/>
      <c r="S53" s="698"/>
    </row>
    <row r="54" spans="2:19" s="689" customFormat="1" hidden="1">
      <c r="B54" s="765" t="s">
        <v>1430</v>
      </c>
      <c r="C54" s="838">
        <f>$C9*'Deployment costs'!$C$18*SUM('Deployment costs'!C20:C23)</f>
        <v>0</v>
      </c>
      <c r="D54" s="913"/>
      <c r="E54" s="1009"/>
      <c r="F54" s="791"/>
      <c r="H54" s="698"/>
      <c r="I54" s="698"/>
      <c r="J54" s="698"/>
      <c r="K54" s="698"/>
      <c r="L54" s="698"/>
      <c r="M54" s="698"/>
      <c r="N54" s="698"/>
      <c r="O54" s="698"/>
      <c r="P54" s="698"/>
      <c r="Q54" s="698"/>
      <c r="R54" s="698"/>
      <c r="S54" s="698"/>
    </row>
    <row r="55" spans="2:19" s="689" customFormat="1" hidden="1">
      <c r="B55" s="765" t="s">
        <v>1431</v>
      </c>
      <c r="C55" s="838">
        <f>$C9*'Deployment costs'!$C$18*SUM('Deployment costs'!C20:C24)</f>
        <v>0</v>
      </c>
      <c r="D55" s="913"/>
      <c r="E55" s="1013"/>
      <c r="F55" s="791"/>
      <c r="H55" s="698"/>
      <c r="I55" s="698"/>
      <c r="J55" s="698"/>
      <c r="K55" s="698"/>
      <c r="L55" s="698"/>
      <c r="M55" s="698"/>
      <c r="N55" s="698"/>
      <c r="O55" s="698"/>
      <c r="P55" s="698"/>
      <c r="Q55" s="698"/>
      <c r="R55" s="698"/>
      <c r="S55" s="698"/>
    </row>
    <row r="56" spans="2:19" s="689" customFormat="1" hidden="1">
      <c r="B56" s="765"/>
      <c r="C56" s="838"/>
      <c r="D56" s="818"/>
      <c r="E56" s="909"/>
      <c r="F56" s="791"/>
      <c r="H56" s="698"/>
      <c r="I56" s="698"/>
      <c r="J56" s="698"/>
      <c r="K56" s="698"/>
      <c r="L56" s="698"/>
      <c r="M56" s="698"/>
      <c r="N56" s="698"/>
      <c r="O56" s="698"/>
      <c r="P56" s="698"/>
      <c r="Q56" s="698"/>
      <c r="R56" s="698"/>
      <c r="S56" s="698"/>
    </row>
    <row r="57" spans="2:19" s="689" customFormat="1" hidden="1">
      <c r="B57" s="765" t="s">
        <v>1219</v>
      </c>
      <c r="C57" s="838"/>
      <c r="D57" s="818"/>
      <c r="F57" s="791"/>
      <c r="H57" s="698"/>
      <c r="I57" s="698"/>
      <c r="J57" s="698"/>
      <c r="K57" s="698"/>
      <c r="L57" s="698"/>
      <c r="M57" s="698"/>
      <c r="N57" s="698"/>
      <c r="O57" s="698"/>
      <c r="P57" s="698"/>
      <c r="Q57" s="698"/>
      <c r="R57" s="698"/>
      <c r="S57" s="698"/>
    </row>
    <row r="58" spans="2:19" s="689" customFormat="1" ht="15.95" hidden="1" customHeight="1">
      <c r="B58" s="765" t="s">
        <v>1427</v>
      </c>
      <c r="C58" s="838">
        <f>$C$10*'Deployment costs'!$C$26*SUM('Deployment costs'!C28)</f>
        <v>0</v>
      </c>
      <c r="D58" s="913"/>
      <c r="E58" s="1008" t="s">
        <v>1437</v>
      </c>
      <c r="F58" s="791"/>
      <c r="H58" s="698"/>
      <c r="I58" s="698"/>
      <c r="J58" s="698"/>
      <c r="K58" s="698"/>
      <c r="L58" s="698"/>
      <c r="M58" s="698"/>
      <c r="N58" s="698"/>
      <c r="O58" s="698"/>
      <c r="P58" s="698"/>
      <c r="Q58" s="698"/>
      <c r="R58" s="698"/>
      <c r="S58" s="698"/>
    </row>
    <row r="59" spans="2:19" s="689" customFormat="1" hidden="1">
      <c r="B59" s="765" t="s">
        <v>1428</v>
      </c>
      <c r="C59" s="838">
        <f>$C$10*'Deployment costs'!$C$26*SUM('Deployment costs'!C28:C29)</f>
        <v>0</v>
      </c>
      <c r="D59" s="913"/>
      <c r="E59" s="1009"/>
      <c r="F59" s="791"/>
      <c r="H59" s="698"/>
      <c r="I59" s="698"/>
      <c r="J59" s="698"/>
      <c r="K59" s="698"/>
      <c r="L59" s="698"/>
      <c r="M59" s="698"/>
      <c r="N59" s="698"/>
      <c r="O59" s="698"/>
      <c r="P59" s="698"/>
      <c r="Q59" s="698"/>
      <c r="R59" s="698"/>
      <c r="S59" s="698"/>
    </row>
    <row r="60" spans="2:19" s="689" customFormat="1" hidden="1">
      <c r="B60" s="765" t="s">
        <v>1429</v>
      </c>
      <c r="C60" s="838">
        <f>$C$10*'Deployment costs'!$C$26*SUM('Deployment costs'!C28:C30)</f>
        <v>0</v>
      </c>
      <c r="D60" s="913"/>
      <c r="E60" s="1009"/>
      <c r="F60" s="791"/>
      <c r="H60" s="698"/>
      <c r="I60" s="698"/>
      <c r="J60" s="698"/>
      <c r="K60" s="698"/>
      <c r="L60" s="698"/>
      <c r="M60" s="698"/>
      <c r="N60" s="698"/>
      <c r="O60" s="698"/>
      <c r="P60" s="698"/>
      <c r="Q60" s="698"/>
      <c r="R60" s="698"/>
      <c r="S60" s="698"/>
    </row>
    <row r="61" spans="2:19" s="689" customFormat="1" hidden="1">
      <c r="B61" s="765" t="s">
        <v>1430</v>
      </c>
      <c r="C61" s="838">
        <f>$C$10*'Deployment costs'!$C$26*SUM('Deployment costs'!C28:C31)</f>
        <v>0</v>
      </c>
      <c r="D61" s="913"/>
      <c r="E61" s="1009"/>
      <c r="F61" s="791"/>
      <c r="H61" s="698"/>
      <c r="I61" s="698"/>
      <c r="J61" s="698"/>
      <c r="K61" s="698"/>
      <c r="L61" s="698"/>
      <c r="M61" s="698"/>
      <c r="N61" s="698"/>
      <c r="O61" s="698"/>
      <c r="P61" s="698"/>
      <c r="Q61" s="698"/>
      <c r="R61" s="698"/>
      <c r="S61" s="698"/>
    </row>
    <row r="62" spans="2:19" s="689" customFormat="1" hidden="1">
      <c r="B62" s="765" t="s">
        <v>1431</v>
      </c>
      <c r="C62" s="838">
        <f>$C$10*'Deployment costs'!$C$26*SUM('Deployment costs'!C28:C32)</f>
        <v>0</v>
      </c>
      <c r="D62" s="913"/>
      <c r="E62" s="1013"/>
      <c r="F62" s="791"/>
      <c r="H62" s="698"/>
      <c r="I62" s="698"/>
      <c r="J62" s="698"/>
      <c r="K62" s="698"/>
      <c r="L62" s="698"/>
      <c r="M62" s="698"/>
      <c r="N62" s="698"/>
      <c r="O62" s="698"/>
      <c r="P62" s="698"/>
      <c r="Q62" s="698"/>
      <c r="R62" s="698"/>
      <c r="S62" s="698"/>
    </row>
    <row r="63" spans="2:19" s="689" customFormat="1" hidden="1">
      <c r="B63" s="765"/>
      <c r="C63" s="838"/>
      <c r="D63" s="818"/>
      <c r="E63" s="909"/>
      <c r="F63" s="791"/>
      <c r="H63" s="698"/>
      <c r="I63" s="698"/>
      <c r="J63" s="698"/>
      <c r="K63" s="698"/>
      <c r="L63" s="698"/>
      <c r="M63" s="698"/>
      <c r="N63" s="698"/>
      <c r="O63" s="698"/>
      <c r="P63" s="698"/>
      <c r="Q63" s="698"/>
      <c r="R63" s="698"/>
      <c r="S63" s="698"/>
    </row>
    <row r="64" spans="2:19" s="689" customFormat="1" hidden="1">
      <c r="B64" s="765" t="s">
        <v>1220</v>
      </c>
      <c r="C64" s="838"/>
      <c r="D64" s="818"/>
      <c r="F64" s="791"/>
      <c r="H64" s="698"/>
      <c r="I64" s="698"/>
      <c r="J64" s="698"/>
      <c r="K64" s="698"/>
      <c r="L64" s="698"/>
      <c r="M64" s="698"/>
      <c r="N64" s="698"/>
      <c r="O64" s="698"/>
      <c r="P64" s="698"/>
      <c r="Q64" s="698"/>
      <c r="R64" s="698"/>
      <c r="S64" s="698"/>
    </row>
    <row r="65" spans="2:19" s="689" customFormat="1" ht="15.95" hidden="1" customHeight="1">
      <c r="B65" s="765" t="s">
        <v>1427</v>
      </c>
      <c r="C65" s="838">
        <f>$C$11*'Deployment costs'!$C$34*SUM('Deployment costs'!C36)</f>
        <v>0</v>
      </c>
      <c r="D65" s="913"/>
      <c r="E65" s="1008" t="s">
        <v>1436</v>
      </c>
      <c r="F65" s="791"/>
      <c r="H65" s="698"/>
      <c r="I65" s="698"/>
      <c r="J65" s="698"/>
      <c r="K65" s="698"/>
      <c r="L65" s="698"/>
      <c r="M65" s="698"/>
      <c r="N65" s="698"/>
      <c r="O65" s="698"/>
      <c r="P65" s="698"/>
      <c r="Q65" s="698"/>
      <c r="R65" s="698"/>
      <c r="S65" s="698"/>
    </row>
    <row r="66" spans="2:19" s="689" customFormat="1" hidden="1">
      <c r="B66" s="765" t="s">
        <v>1428</v>
      </c>
      <c r="C66" s="838">
        <f>$C$11*'Deployment costs'!$C$34*SUM('Deployment costs'!C36:C37)</f>
        <v>0</v>
      </c>
      <c r="D66" s="913"/>
      <c r="E66" s="1009"/>
      <c r="F66" s="791"/>
      <c r="H66" s="698"/>
      <c r="I66" s="698"/>
      <c r="J66" s="698"/>
      <c r="K66" s="698"/>
      <c r="L66" s="698"/>
      <c r="M66" s="698"/>
      <c r="N66" s="698"/>
      <c r="O66" s="698"/>
      <c r="P66" s="698"/>
      <c r="Q66" s="698"/>
      <c r="R66" s="698"/>
      <c r="S66" s="698"/>
    </row>
    <row r="67" spans="2:19" s="689" customFormat="1" hidden="1">
      <c r="B67" s="765" t="s">
        <v>1429</v>
      </c>
      <c r="C67" s="838">
        <f>$C$11*'Deployment costs'!$C$34*SUM('Deployment costs'!C36:C38)</f>
        <v>0</v>
      </c>
      <c r="D67" s="913"/>
      <c r="E67" s="1009"/>
      <c r="F67" s="791"/>
      <c r="H67" s="698"/>
      <c r="I67" s="698"/>
      <c r="J67" s="698"/>
      <c r="K67" s="698"/>
      <c r="L67" s="698"/>
      <c r="M67" s="698"/>
      <c r="N67" s="698"/>
      <c r="O67" s="698"/>
      <c r="P67" s="698"/>
      <c r="Q67" s="698"/>
      <c r="R67" s="698"/>
      <c r="S67" s="698"/>
    </row>
    <row r="68" spans="2:19" s="689" customFormat="1" hidden="1">
      <c r="B68" s="765" t="s">
        <v>1430</v>
      </c>
      <c r="C68" s="838">
        <f>$C$11*'Deployment costs'!$C$34*SUM('Deployment costs'!C36:C39)</f>
        <v>0</v>
      </c>
      <c r="D68" s="913"/>
      <c r="E68" s="1009"/>
      <c r="F68" s="791"/>
      <c r="H68" s="698"/>
      <c r="I68" s="698"/>
      <c r="J68" s="698"/>
      <c r="K68" s="698"/>
      <c r="L68" s="698"/>
      <c r="M68" s="698"/>
      <c r="N68" s="698"/>
      <c r="O68" s="698"/>
      <c r="P68" s="698"/>
      <c r="Q68" s="698"/>
      <c r="R68" s="698"/>
      <c r="S68" s="698"/>
    </row>
    <row r="69" spans="2:19" s="689" customFormat="1" hidden="1">
      <c r="B69" s="765" t="s">
        <v>1431</v>
      </c>
      <c r="C69" s="838">
        <f>$C$11*'Deployment costs'!$C$34*SUM('Deployment costs'!C36:C40)</f>
        <v>0</v>
      </c>
      <c r="D69" s="913"/>
      <c r="E69" s="1013"/>
      <c r="F69" s="791"/>
      <c r="H69" s="698"/>
      <c r="I69" s="698"/>
      <c r="J69" s="698"/>
      <c r="K69" s="698"/>
      <c r="L69" s="698"/>
      <c r="M69" s="698"/>
      <c r="N69" s="698"/>
      <c r="O69" s="698"/>
      <c r="P69" s="698"/>
      <c r="Q69" s="698"/>
      <c r="R69" s="698"/>
      <c r="S69" s="698"/>
    </row>
    <row r="70" spans="2:19" s="689" customFormat="1" hidden="1">
      <c r="B70" s="765"/>
      <c r="C70" s="838"/>
      <c r="D70" s="818"/>
      <c r="E70" s="909"/>
      <c r="F70" s="791"/>
      <c r="H70" s="698"/>
      <c r="I70" s="698"/>
      <c r="J70" s="698"/>
      <c r="K70" s="698"/>
      <c r="L70" s="698"/>
      <c r="M70" s="698"/>
      <c r="N70" s="698"/>
      <c r="O70" s="698"/>
      <c r="P70" s="698"/>
      <c r="Q70" s="698"/>
      <c r="R70" s="698"/>
      <c r="S70" s="698"/>
    </row>
    <row r="71" spans="2:19" s="689" customFormat="1" hidden="1">
      <c r="B71" s="765" t="s">
        <v>1221</v>
      </c>
      <c r="C71" s="838"/>
      <c r="D71" s="818"/>
      <c r="F71" s="791"/>
      <c r="H71" s="698"/>
      <c r="I71" s="698"/>
      <c r="J71" s="698"/>
      <c r="K71" s="698"/>
      <c r="L71" s="698"/>
      <c r="M71" s="698"/>
      <c r="N71" s="698"/>
      <c r="O71" s="698"/>
      <c r="P71" s="698"/>
      <c r="Q71" s="698"/>
      <c r="R71" s="698"/>
      <c r="S71" s="698"/>
    </row>
    <row r="72" spans="2:19" s="689" customFormat="1" ht="15.95" hidden="1" customHeight="1">
      <c r="B72" s="765" t="s">
        <v>1427</v>
      </c>
      <c r="C72" s="838">
        <f>$C$12*SUM('Deployment costs'!C43)</f>
        <v>0</v>
      </c>
      <c r="D72" s="913"/>
      <c r="E72" s="1008" t="s">
        <v>1435</v>
      </c>
      <c r="F72" s="791"/>
      <c r="H72" s="698"/>
      <c r="I72" s="698"/>
      <c r="J72" s="698"/>
      <c r="K72" s="698"/>
      <c r="L72" s="698"/>
      <c r="M72" s="698"/>
      <c r="N72" s="698"/>
      <c r="O72" s="698"/>
      <c r="P72" s="698"/>
      <c r="Q72" s="698"/>
      <c r="R72" s="698"/>
      <c r="S72" s="698"/>
    </row>
    <row r="73" spans="2:19" s="689" customFormat="1" hidden="1">
      <c r="B73" s="765" t="s">
        <v>1428</v>
      </c>
      <c r="C73" s="838">
        <f>$C$12*SUM('Deployment costs'!C43:C44)</f>
        <v>0</v>
      </c>
      <c r="D73" s="913"/>
      <c r="E73" s="1009"/>
      <c r="F73" s="791"/>
      <c r="H73" s="698"/>
      <c r="I73" s="698"/>
      <c r="J73" s="698"/>
      <c r="K73" s="698"/>
      <c r="L73" s="698"/>
      <c r="M73" s="698"/>
      <c r="N73" s="698"/>
      <c r="O73" s="698"/>
      <c r="P73" s="698"/>
      <c r="Q73" s="698"/>
      <c r="R73" s="698"/>
      <c r="S73" s="698"/>
    </row>
    <row r="74" spans="2:19" s="689" customFormat="1" hidden="1">
      <c r="B74" s="765" t="s">
        <v>1429</v>
      </c>
      <c r="C74" s="838">
        <f>$C$12*SUM('Deployment costs'!C43:C45)</f>
        <v>0</v>
      </c>
      <c r="D74" s="913"/>
      <c r="E74" s="1009"/>
      <c r="F74" s="791"/>
      <c r="H74" s="698"/>
      <c r="I74" s="698"/>
      <c r="J74" s="698"/>
      <c r="K74" s="698"/>
      <c r="L74" s="698"/>
      <c r="M74" s="698"/>
      <c r="N74" s="698"/>
      <c r="O74" s="698"/>
      <c r="P74" s="698"/>
      <c r="Q74" s="698"/>
      <c r="R74" s="698"/>
      <c r="S74" s="698"/>
    </row>
    <row r="75" spans="2:19" s="689" customFormat="1" hidden="1">
      <c r="B75" s="765" t="s">
        <v>1430</v>
      </c>
      <c r="C75" s="838">
        <f>$C$12*SUM('Deployment costs'!C43:C46)</f>
        <v>0</v>
      </c>
      <c r="D75" s="913"/>
      <c r="E75" s="1009"/>
      <c r="F75" s="791"/>
      <c r="H75" s="698"/>
      <c r="I75" s="698"/>
      <c r="J75" s="698"/>
      <c r="K75" s="698"/>
      <c r="L75" s="698"/>
      <c r="M75" s="698"/>
      <c r="N75" s="698"/>
      <c r="O75" s="698"/>
      <c r="P75" s="698"/>
      <c r="Q75" s="698"/>
      <c r="R75" s="698"/>
      <c r="S75" s="698"/>
    </row>
    <row r="76" spans="2:19" s="689" customFormat="1" hidden="1">
      <c r="B76" s="765" t="s">
        <v>1431</v>
      </c>
      <c r="C76" s="838">
        <f>$C$12*SUM('Deployment costs'!C43:C47)</f>
        <v>0</v>
      </c>
      <c r="D76" s="913"/>
      <c r="E76" s="1013"/>
      <c r="F76" s="791"/>
      <c r="H76" s="698"/>
      <c r="I76" s="698"/>
      <c r="J76" s="698"/>
      <c r="K76" s="698"/>
      <c r="L76" s="698"/>
      <c r="M76" s="698"/>
      <c r="N76" s="698"/>
      <c r="O76" s="698"/>
      <c r="P76" s="698"/>
      <c r="Q76" s="698"/>
      <c r="R76" s="698"/>
      <c r="S76" s="698"/>
    </row>
    <row r="77" spans="2:19" s="689" customFormat="1">
      <c r="C77" s="822"/>
      <c r="D77" s="822"/>
      <c r="E77" s="914"/>
      <c r="G77" s="725"/>
      <c r="H77" s="698"/>
      <c r="I77" s="698"/>
      <c r="J77" s="698"/>
      <c r="K77" s="698"/>
      <c r="L77" s="698"/>
      <c r="M77" s="698"/>
      <c r="N77" s="698"/>
      <c r="O77" s="698"/>
      <c r="P77" s="698"/>
      <c r="Q77" s="698"/>
      <c r="R77" s="698"/>
      <c r="S77" s="698"/>
    </row>
    <row r="78" spans="2:19">
      <c r="B78" s="855" t="s">
        <v>680</v>
      </c>
      <c r="C78" s="915"/>
      <c r="D78" s="823"/>
      <c r="E78" s="916"/>
      <c r="F78" s="860"/>
    </row>
    <row r="79" spans="2:19" s="689" customFormat="1" ht="105.95" customHeight="1">
      <c r="B79" s="868" t="s">
        <v>885</v>
      </c>
      <c r="C79" s="917"/>
      <c r="D79" s="901">
        <v>0.2</v>
      </c>
      <c r="E79" s="918" t="s">
        <v>1541</v>
      </c>
      <c r="F79" s="690" t="s">
        <v>957</v>
      </c>
      <c r="H79" s="698"/>
      <c r="I79" s="698"/>
      <c r="J79" s="698"/>
      <c r="K79" s="698"/>
      <c r="L79" s="698"/>
      <c r="M79" s="698"/>
      <c r="N79" s="698"/>
      <c r="O79" s="698"/>
      <c r="P79" s="698"/>
      <c r="Q79" s="698"/>
      <c r="R79" s="698"/>
      <c r="S79" s="698"/>
    </row>
    <row r="80" spans="2:19" s="689" customFormat="1" ht="63.95" customHeight="1">
      <c r="B80" s="868" t="s">
        <v>1539</v>
      </c>
      <c r="C80" s="919">
        <f>SUM(C81:C85)</f>
        <v>0</v>
      </c>
      <c r="D80" s="904" t="s">
        <v>1388</v>
      </c>
      <c r="E80" s="918" t="s">
        <v>1540</v>
      </c>
      <c r="F80" s="690"/>
      <c r="H80" s="698"/>
      <c r="I80" s="698"/>
      <c r="J80" s="698"/>
      <c r="K80" s="698"/>
      <c r="L80" s="698"/>
      <c r="M80" s="698"/>
      <c r="N80" s="698"/>
      <c r="O80" s="698"/>
      <c r="P80" s="698"/>
      <c r="Q80" s="698"/>
      <c r="R80" s="698"/>
      <c r="S80" s="698"/>
    </row>
    <row r="81" spans="2:19" s="689" customFormat="1" ht="15.95" hidden="1" customHeight="1">
      <c r="B81" s="858" t="s">
        <v>108</v>
      </c>
      <c r="C81" s="919">
        <f>$C$79*SUM('Deployment costs'!C54)</f>
        <v>0</v>
      </c>
      <c r="D81" s="904" t="s">
        <v>1388</v>
      </c>
      <c r="E81" s="786"/>
      <c r="F81" s="690"/>
      <c r="H81" s="698"/>
      <c r="I81" s="698"/>
      <c r="J81" s="698"/>
      <c r="K81" s="698"/>
      <c r="L81" s="698"/>
      <c r="M81" s="698"/>
      <c r="N81" s="698"/>
      <c r="O81" s="698"/>
      <c r="P81" s="698"/>
      <c r="Q81" s="698"/>
      <c r="R81" s="698"/>
      <c r="S81" s="698"/>
    </row>
    <row r="82" spans="2:19" s="689" customFormat="1" ht="15.95" hidden="1" customHeight="1">
      <c r="B82" s="858" t="s">
        <v>109</v>
      </c>
      <c r="C82" s="919">
        <f>$C$79*SUM('Deployment costs'!C54:C55)</f>
        <v>0</v>
      </c>
      <c r="D82" s="904" t="s">
        <v>1388</v>
      </c>
      <c r="E82" s="786"/>
      <c r="F82" s="690"/>
      <c r="H82" s="698"/>
      <c r="I82" s="698"/>
      <c r="J82" s="698"/>
      <c r="K82" s="698"/>
      <c r="L82" s="698"/>
      <c r="M82" s="698"/>
      <c r="N82" s="698"/>
      <c r="O82" s="698"/>
      <c r="P82" s="698"/>
      <c r="Q82" s="698"/>
      <c r="R82" s="698"/>
      <c r="S82" s="698"/>
    </row>
    <row r="83" spans="2:19" s="689" customFormat="1" ht="15.95" hidden="1" customHeight="1">
      <c r="B83" s="858" t="s">
        <v>110</v>
      </c>
      <c r="C83" s="919">
        <f>$C$79*SUM('Deployment costs'!C54:C56)</f>
        <v>0</v>
      </c>
      <c r="D83" s="904" t="s">
        <v>1388</v>
      </c>
      <c r="E83" s="786"/>
      <c r="F83" s="690"/>
      <c r="H83" s="698"/>
      <c r="I83" s="698"/>
      <c r="J83" s="698"/>
      <c r="K83" s="698"/>
      <c r="L83" s="698"/>
      <c r="M83" s="698"/>
      <c r="N83" s="698"/>
      <c r="O83" s="698"/>
      <c r="P83" s="698"/>
      <c r="Q83" s="698"/>
      <c r="R83" s="698"/>
      <c r="S83" s="698"/>
    </row>
    <row r="84" spans="2:19" s="689" customFormat="1" ht="15.95" hidden="1" customHeight="1">
      <c r="B84" s="858" t="s">
        <v>111</v>
      </c>
      <c r="C84" s="919">
        <f>$C$79*SUM('Deployment costs'!C54:C57)</f>
        <v>0</v>
      </c>
      <c r="D84" s="904" t="s">
        <v>1388</v>
      </c>
      <c r="E84" s="786"/>
      <c r="F84" s="690"/>
      <c r="H84" s="698"/>
      <c r="I84" s="698"/>
      <c r="J84" s="698"/>
      <c r="K84" s="698"/>
      <c r="L84" s="698"/>
      <c r="M84" s="698"/>
      <c r="N84" s="698"/>
      <c r="O84" s="698"/>
      <c r="P84" s="698"/>
      <c r="Q84" s="698"/>
      <c r="R84" s="698"/>
      <c r="S84" s="698"/>
    </row>
    <row r="85" spans="2:19" s="689" customFormat="1" ht="15.95" hidden="1" customHeight="1">
      <c r="B85" s="858" t="s">
        <v>112</v>
      </c>
      <c r="C85" s="919">
        <f>$C$79*SUM('Deployment costs'!C54:C58)</f>
        <v>0</v>
      </c>
      <c r="D85" s="904" t="s">
        <v>1388</v>
      </c>
      <c r="E85" s="786"/>
      <c r="F85" s="690"/>
      <c r="H85" s="698"/>
      <c r="I85" s="698"/>
      <c r="J85" s="698"/>
      <c r="K85" s="698"/>
      <c r="L85" s="698"/>
      <c r="M85" s="698"/>
      <c r="N85" s="698"/>
      <c r="O85" s="698"/>
      <c r="P85" s="698"/>
      <c r="Q85" s="698"/>
      <c r="R85" s="698"/>
      <c r="S85" s="698"/>
    </row>
    <row r="86" spans="2:19" s="689" customFormat="1" ht="15" hidden="1" customHeight="1">
      <c r="B86" s="868"/>
      <c r="C86" s="874"/>
      <c r="D86" s="920"/>
      <c r="E86" s="786"/>
      <c r="F86" s="690"/>
      <c r="H86" s="698"/>
      <c r="I86" s="698"/>
      <c r="J86" s="698"/>
      <c r="K86" s="698"/>
      <c r="L86" s="698"/>
      <c r="M86" s="698"/>
      <c r="N86" s="698"/>
      <c r="O86" s="698"/>
      <c r="P86" s="698"/>
      <c r="Q86" s="698"/>
      <c r="R86" s="698"/>
      <c r="S86" s="698"/>
    </row>
    <row r="87" spans="2:19" s="689" customFormat="1" ht="15.95" hidden="1" customHeight="1">
      <c r="B87" s="816" t="s">
        <v>1292</v>
      </c>
      <c r="D87" s="698"/>
      <c r="F87" s="690" t="s">
        <v>961</v>
      </c>
      <c r="H87" s="698"/>
      <c r="I87" s="698"/>
      <c r="J87" s="698"/>
      <c r="K87" s="698"/>
      <c r="L87" s="698"/>
      <c r="M87" s="698"/>
      <c r="N87" s="698"/>
      <c r="O87" s="698"/>
      <c r="P87" s="698"/>
      <c r="Q87" s="698"/>
      <c r="R87" s="698"/>
      <c r="S87" s="698"/>
    </row>
    <row r="88" spans="2:19" s="689" customFormat="1" ht="15.95" hidden="1" customHeight="1">
      <c r="B88" s="858" t="s">
        <v>108</v>
      </c>
      <c r="C88" s="838">
        <f>$C$79*'Deployment costs'!$C$52*SUM('Deployment costs'!C54)</f>
        <v>0</v>
      </c>
      <c r="D88" s="913" t="s">
        <v>1388</v>
      </c>
      <c r="E88" s="1008" t="s">
        <v>1434</v>
      </c>
      <c r="F88" s="690"/>
      <c r="H88" s="698"/>
      <c r="I88" s="698"/>
      <c r="J88" s="698"/>
      <c r="K88" s="698"/>
      <c r="L88" s="698"/>
      <c r="M88" s="698"/>
      <c r="N88" s="698"/>
      <c r="O88" s="698"/>
      <c r="P88" s="698"/>
      <c r="Q88" s="698"/>
      <c r="R88" s="698"/>
      <c r="S88" s="698"/>
    </row>
    <row r="89" spans="2:19" s="689" customFormat="1" ht="15.95" hidden="1" customHeight="1">
      <c r="B89" s="858" t="s">
        <v>109</v>
      </c>
      <c r="C89" s="838">
        <f>$C$79*'Deployment costs'!$C$52*SUM('Deployment costs'!C54:C55)</f>
        <v>0</v>
      </c>
      <c r="D89" s="913" t="s">
        <v>1388</v>
      </c>
      <c r="E89" s="1009"/>
      <c r="F89" s="690"/>
      <c r="H89" s="698"/>
      <c r="I89" s="698"/>
      <c r="J89" s="698"/>
      <c r="K89" s="698"/>
      <c r="L89" s="698"/>
      <c r="M89" s="698"/>
      <c r="N89" s="698"/>
      <c r="O89" s="698"/>
      <c r="P89" s="698"/>
      <c r="Q89" s="698"/>
      <c r="R89" s="698"/>
      <c r="S89" s="698"/>
    </row>
    <row r="90" spans="2:19" s="689" customFormat="1" ht="15.95" hidden="1" customHeight="1">
      <c r="B90" s="858" t="s">
        <v>110</v>
      </c>
      <c r="C90" s="838">
        <f>$C$79*'Deployment costs'!$C$52*SUM('Deployment costs'!C54:C56)</f>
        <v>0</v>
      </c>
      <c r="D90" s="913" t="s">
        <v>1388</v>
      </c>
      <c r="E90" s="1009"/>
      <c r="F90" s="690"/>
      <c r="H90" s="698"/>
      <c r="I90" s="698"/>
      <c r="J90" s="698"/>
      <c r="K90" s="698"/>
      <c r="L90" s="698"/>
      <c r="M90" s="698"/>
      <c r="N90" s="698"/>
      <c r="O90" s="698"/>
      <c r="P90" s="698"/>
      <c r="Q90" s="698"/>
      <c r="R90" s="698"/>
      <c r="S90" s="698"/>
    </row>
    <row r="91" spans="2:19" s="689" customFormat="1" ht="15.95" hidden="1" customHeight="1">
      <c r="B91" s="858" t="s">
        <v>111</v>
      </c>
      <c r="C91" s="838">
        <f>$C$79*'Deployment costs'!$C$52*SUM('Deployment costs'!C54:C57)</f>
        <v>0</v>
      </c>
      <c r="D91" s="913" t="s">
        <v>1388</v>
      </c>
      <c r="E91" s="1009"/>
      <c r="F91" s="690"/>
      <c r="H91" s="698"/>
      <c r="I91" s="698"/>
      <c r="J91" s="698"/>
      <c r="K91" s="698"/>
      <c r="L91" s="698"/>
      <c r="M91" s="698"/>
      <c r="N91" s="698"/>
      <c r="O91" s="698"/>
      <c r="P91" s="698"/>
      <c r="Q91" s="698"/>
      <c r="R91" s="698"/>
      <c r="S91" s="698"/>
    </row>
    <row r="92" spans="2:19" s="689" customFormat="1" ht="15.95" hidden="1" customHeight="1">
      <c r="B92" s="858" t="s">
        <v>112</v>
      </c>
      <c r="C92" s="838">
        <f>$C$79*'Deployment costs'!$C$52*SUM('Deployment costs'!C54:C58)</f>
        <v>0</v>
      </c>
      <c r="D92" s="913" t="s">
        <v>1388</v>
      </c>
      <c r="E92" s="1013"/>
      <c r="F92" s="690"/>
      <c r="H92" s="698"/>
      <c r="I92" s="698"/>
      <c r="J92" s="698"/>
      <c r="K92" s="698"/>
      <c r="L92" s="698"/>
      <c r="M92" s="698"/>
      <c r="N92" s="698"/>
      <c r="O92" s="698"/>
      <c r="P92" s="698"/>
      <c r="Q92" s="698"/>
      <c r="R92" s="698"/>
      <c r="S92" s="698"/>
    </row>
    <row r="93" spans="2:19" s="689" customFormat="1" ht="15.95" hidden="1" customHeight="1">
      <c r="B93" s="858"/>
      <c r="C93" s="877"/>
      <c r="D93" s="920"/>
      <c r="E93" s="786"/>
      <c r="F93" s="690"/>
      <c r="H93" s="698"/>
      <c r="I93" s="698"/>
      <c r="J93" s="698"/>
      <c r="K93" s="698"/>
      <c r="L93" s="698"/>
      <c r="M93" s="698"/>
      <c r="N93" s="698"/>
      <c r="O93" s="698"/>
      <c r="P93" s="698"/>
      <c r="Q93" s="698"/>
      <c r="R93" s="698"/>
      <c r="S93" s="698"/>
    </row>
    <row r="94" spans="2:19" s="689" customFormat="1" ht="15.95" hidden="1" customHeight="1">
      <c r="B94" s="816" t="s">
        <v>1293</v>
      </c>
      <c r="C94" s="921"/>
      <c r="D94" s="922"/>
      <c r="E94" s="698"/>
      <c r="F94" s="791"/>
      <c r="H94" s="698"/>
      <c r="I94" s="698"/>
      <c r="J94" s="698"/>
      <c r="K94" s="698"/>
      <c r="L94" s="698"/>
      <c r="M94" s="698"/>
      <c r="N94" s="698"/>
      <c r="O94" s="698"/>
      <c r="P94" s="698"/>
      <c r="Q94" s="698"/>
      <c r="R94" s="698"/>
      <c r="S94" s="698"/>
    </row>
    <row r="95" spans="2:19" s="689" customFormat="1" ht="15.95" hidden="1" customHeight="1">
      <c r="B95" s="858" t="s">
        <v>108</v>
      </c>
      <c r="C95" s="838">
        <f>$C$79*SUM('Deployment costs'!C61)</f>
        <v>0</v>
      </c>
      <c r="D95" s="913" t="s">
        <v>1388</v>
      </c>
      <c r="E95" s="1008" t="s">
        <v>1434</v>
      </c>
      <c r="F95" s="791"/>
      <c r="H95" s="698"/>
      <c r="I95" s="698"/>
      <c r="J95" s="698"/>
      <c r="K95" s="698"/>
      <c r="L95" s="698"/>
      <c r="M95" s="698"/>
      <c r="N95" s="698"/>
      <c r="O95" s="698"/>
      <c r="P95" s="698"/>
      <c r="Q95" s="698"/>
      <c r="R95" s="698"/>
      <c r="S95" s="698"/>
    </row>
    <row r="96" spans="2:19" s="689" customFormat="1" ht="15.95" hidden="1" customHeight="1">
      <c r="B96" s="858" t="s">
        <v>109</v>
      </c>
      <c r="C96" s="838">
        <f>$C$79*SUM('Deployment costs'!C61:C62)</f>
        <v>0</v>
      </c>
      <c r="D96" s="913" t="s">
        <v>1388</v>
      </c>
      <c r="E96" s="1009"/>
      <c r="F96" s="791"/>
      <c r="H96" s="698"/>
      <c r="I96" s="698"/>
      <c r="J96" s="698"/>
      <c r="K96" s="698"/>
      <c r="L96" s="698"/>
      <c r="M96" s="698"/>
      <c r="N96" s="698"/>
      <c r="O96" s="698"/>
      <c r="P96" s="698"/>
      <c r="Q96" s="698"/>
      <c r="R96" s="698"/>
      <c r="S96" s="698"/>
    </row>
    <row r="97" spans="2:19" s="689" customFormat="1" ht="15.95" hidden="1" customHeight="1">
      <c r="B97" s="858" t="s">
        <v>110</v>
      </c>
      <c r="C97" s="838">
        <f>$C$79*SUM('Deployment costs'!C61:C63)</f>
        <v>0</v>
      </c>
      <c r="D97" s="913" t="s">
        <v>1388</v>
      </c>
      <c r="E97" s="1009"/>
      <c r="F97" s="791"/>
      <c r="H97" s="698"/>
      <c r="I97" s="698"/>
      <c r="J97" s="698"/>
      <c r="K97" s="698"/>
      <c r="L97" s="698"/>
      <c r="M97" s="698"/>
      <c r="N97" s="698"/>
      <c r="O97" s="698"/>
      <c r="P97" s="698"/>
      <c r="Q97" s="698"/>
      <c r="R97" s="698"/>
      <c r="S97" s="698"/>
    </row>
    <row r="98" spans="2:19" s="689" customFormat="1" ht="15.95" hidden="1" customHeight="1">
      <c r="B98" s="858" t="s">
        <v>111</v>
      </c>
      <c r="C98" s="838">
        <f>$C$79*SUM('Deployment costs'!C61:C64)</f>
        <v>0</v>
      </c>
      <c r="D98" s="913" t="s">
        <v>1388</v>
      </c>
      <c r="E98" s="1009"/>
      <c r="F98" s="791"/>
      <c r="H98" s="698"/>
      <c r="I98" s="698"/>
      <c r="J98" s="698"/>
      <c r="K98" s="698"/>
      <c r="L98" s="698"/>
      <c r="M98" s="698"/>
      <c r="N98" s="698"/>
      <c r="O98" s="698"/>
      <c r="P98" s="698"/>
      <c r="Q98" s="698"/>
      <c r="R98" s="698"/>
      <c r="S98" s="698"/>
    </row>
    <row r="99" spans="2:19" s="689" customFormat="1" ht="15.95" hidden="1" customHeight="1">
      <c r="B99" s="858" t="s">
        <v>112</v>
      </c>
      <c r="C99" s="838">
        <f>$C$79*SUM('Deployment costs'!C61:C65)</f>
        <v>0</v>
      </c>
      <c r="D99" s="913" t="s">
        <v>1388</v>
      </c>
      <c r="E99" s="1013"/>
      <c r="F99" s="791"/>
      <c r="H99" s="698"/>
      <c r="I99" s="698"/>
      <c r="J99" s="698"/>
      <c r="K99" s="698"/>
      <c r="L99" s="698"/>
      <c r="M99" s="698"/>
      <c r="N99" s="698"/>
      <c r="O99" s="698"/>
      <c r="P99" s="698"/>
      <c r="Q99" s="698"/>
      <c r="R99" s="698"/>
      <c r="S99" s="698"/>
    </row>
    <row r="100" spans="2:19" s="689" customFormat="1" ht="15.95" customHeight="1">
      <c r="C100" s="763"/>
      <c r="D100" s="763"/>
      <c r="G100" s="725"/>
      <c r="H100" s="698"/>
      <c r="I100" s="698"/>
      <c r="J100" s="698"/>
      <c r="K100" s="698"/>
      <c r="L100" s="698"/>
      <c r="M100" s="698"/>
      <c r="N100" s="698"/>
      <c r="O100" s="698"/>
      <c r="P100" s="698"/>
      <c r="Q100" s="698"/>
      <c r="R100" s="698"/>
      <c r="S100" s="698"/>
    </row>
    <row r="101" spans="2:19">
      <c r="B101" s="855" t="s">
        <v>23</v>
      </c>
      <c r="C101" s="808"/>
      <c r="D101" s="823"/>
      <c r="E101" s="826" t="s">
        <v>1499</v>
      </c>
      <c r="F101" s="860"/>
      <c r="H101" s="849"/>
      <c r="I101" s="849"/>
      <c r="J101" s="849"/>
      <c r="K101" s="849"/>
      <c r="L101" s="849"/>
    </row>
    <row r="102" spans="2:19" s="689" customFormat="1" ht="32.1" customHeight="1">
      <c r="B102" s="868" t="s">
        <v>1390</v>
      </c>
      <c r="C102" s="827"/>
      <c r="D102" s="774"/>
      <c r="E102" s="775" t="s">
        <v>1498</v>
      </c>
      <c r="F102" s="814" t="s">
        <v>1313</v>
      </c>
      <c r="H102" s="849"/>
      <c r="I102" s="849"/>
      <c r="J102" s="849"/>
      <c r="K102" s="849"/>
      <c r="L102" s="849"/>
      <c r="M102" s="698"/>
      <c r="N102" s="849"/>
      <c r="O102" s="698"/>
      <c r="P102" s="698"/>
      <c r="Q102" s="698"/>
      <c r="R102" s="698"/>
      <c r="S102" s="698"/>
    </row>
    <row r="103" spans="2:19" s="689" customFormat="1">
      <c r="B103" s="868" t="s">
        <v>1524</v>
      </c>
      <c r="C103" s="832"/>
      <c r="D103" s="923"/>
      <c r="F103" s="814"/>
      <c r="H103" s="698"/>
      <c r="I103" s="698"/>
      <c r="J103" s="698"/>
      <c r="K103" s="698"/>
      <c r="L103" s="698"/>
      <c r="M103" s="698"/>
      <c r="N103" s="698"/>
      <c r="O103" s="698"/>
      <c r="P103" s="698"/>
      <c r="Q103" s="698"/>
      <c r="R103" s="698"/>
      <c r="S103" s="698"/>
    </row>
    <row r="104" spans="2:19" s="689" customFormat="1" ht="15.95" customHeight="1">
      <c r="B104" s="858" t="s">
        <v>108</v>
      </c>
      <c r="C104" s="799"/>
      <c r="D104" s="924">
        <f>'Scope of implementation'!C18</f>
        <v>0</v>
      </c>
      <c r="E104" s="1008" t="s">
        <v>1582</v>
      </c>
      <c r="F104" s="814"/>
      <c r="H104" s="698"/>
      <c r="I104" s="698"/>
      <c r="J104" s="698"/>
      <c r="K104" s="698"/>
      <c r="L104" s="698"/>
      <c r="M104" s="698"/>
      <c r="N104" s="698"/>
      <c r="O104" s="698"/>
      <c r="P104" s="698"/>
      <c r="Q104" s="698"/>
      <c r="R104" s="698"/>
      <c r="S104" s="698"/>
    </row>
    <row r="105" spans="2:19" s="689" customFormat="1" ht="15.95" customHeight="1">
      <c r="B105" s="858" t="s">
        <v>109</v>
      </c>
      <c r="C105" s="799"/>
      <c r="D105" s="924">
        <f>'Scope of implementation'!C19</f>
        <v>0</v>
      </c>
      <c r="E105" s="1009"/>
      <c r="F105" s="814"/>
      <c r="H105" s="698"/>
      <c r="I105" s="698"/>
      <c r="J105" s="698"/>
      <c r="K105" s="698"/>
      <c r="L105" s="698"/>
      <c r="M105" s="698"/>
      <c r="N105" s="698"/>
      <c r="O105" s="698"/>
      <c r="P105" s="698"/>
      <c r="Q105" s="698"/>
      <c r="R105" s="698"/>
      <c r="S105" s="698"/>
    </row>
    <row r="106" spans="2:19" s="689" customFormat="1" ht="15.95" customHeight="1">
      <c r="B106" s="858" t="s">
        <v>110</v>
      </c>
      <c r="C106" s="799"/>
      <c r="D106" s="924">
        <f>'Scope of implementation'!C20</f>
        <v>0</v>
      </c>
      <c r="E106" s="1009"/>
      <c r="F106" s="814"/>
      <c r="H106" s="698"/>
      <c r="I106" s="837"/>
      <c r="J106" s="698"/>
      <c r="K106" s="698"/>
      <c r="L106" s="698"/>
      <c r="M106" s="698"/>
      <c r="N106" s="698"/>
      <c r="O106" s="698"/>
      <c r="P106" s="698"/>
      <c r="Q106" s="698"/>
      <c r="R106" s="698"/>
      <c r="S106" s="698"/>
    </row>
    <row r="107" spans="2:19" s="689" customFormat="1" ht="15.95" customHeight="1">
      <c r="B107" s="858" t="s">
        <v>111</v>
      </c>
      <c r="C107" s="799"/>
      <c r="D107" s="924">
        <f>'Scope of implementation'!C21</f>
        <v>0</v>
      </c>
      <c r="E107" s="1009"/>
      <c r="F107" s="814"/>
      <c r="H107" s="698"/>
      <c r="I107" s="837"/>
      <c r="J107" s="698"/>
      <c r="K107" s="698"/>
      <c r="L107" s="698"/>
      <c r="M107" s="698"/>
      <c r="N107" s="698"/>
      <c r="O107" s="698"/>
      <c r="P107" s="698"/>
      <c r="Q107" s="698"/>
      <c r="R107" s="698"/>
      <c r="S107" s="698"/>
    </row>
    <row r="108" spans="2:19" s="689" customFormat="1" ht="15.95" customHeight="1">
      <c r="B108" s="858" t="s">
        <v>112</v>
      </c>
      <c r="C108" s="799"/>
      <c r="D108" s="924">
        <f>'Scope of implementation'!C22</f>
        <v>0</v>
      </c>
      <c r="E108" s="1013"/>
      <c r="F108" s="814"/>
      <c r="H108" s="698"/>
      <c r="I108" s="837"/>
      <c r="J108" s="698"/>
      <c r="K108" s="698"/>
      <c r="L108" s="698"/>
      <c r="M108" s="698"/>
      <c r="N108" s="698"/>
      <c r="O108" s="698"/>
      <c r="P108" s="698"/>
      <c r="Q108" s="698"/>
      <c r="R108" s="698"/>
      <c r="S108" s="698"/>
    </row>
    <row r="109" spans="2:19">
      <c r="G109" s="725"/>
      <c r="I109" s="837"/>
    </row>
    <row r="110" spans="2:19">
      <c r="B110" s="855" t="s">
        <v>25</v>
      </c>
      <c r="C110" s="808"/>
      <c r="D110" s="823"/>
      <c r="E110" s="826" t="s">
        <v>1500</v>
      </c>
      <c r="F110" s="860"/>
    </row>
    <row r="111" spans="2:19" s="689" customFormat="1" ht="51.95" customHeight="1">
      <c r="B111" s="868" t="s">
        <v>1563</v>
      </c>
      <c r="C111" s="827"/>
      <c r="D111" s="901" t="s">
        <v>1170</v>
      </c>
      <c r="E111" s="775" t="s">
        <v>1562</v>
      </c>
      <c r="F111" s="814" t="s">
        <v>1311</v>
      </c>
      <c r="H111" s="698"/>
      <c r="I111" s="698"/>
      <c r="J111" s="698"/>
      <c r="K111" s="698"/>
      <c r="L111" s="698"/>
      <c r="M111" s="698"/>
      <c r="N111" s="698"/>
      <c r="O111" s="698"/>
      <c r="P111" s="698"/>
      <c r="Q111" s="698"/>
      <c r="R111" s="698"/>
      <c r="S111" s="698"/>
    </row>
    <row r="112" spans="2:19" s="689" customFormat="1" ht="30">
      <c r="B112" s="868" t="s">
        <v>1525</v>
      </c>
      <c r="C112" s="832"/>
      <c r="D112" s="879"/>
      <c r="F112" s="690" t="s">
        <v>961</v>
      </c>
      <c r="H112" s="698"/>
      <c r="I112" s="698"/>
      <c r="J112" s="698"/>
      <c r="K112" s="698"/>
      <c r="L112" s="698"/>
      <c r="M112" s="698"/>
      <c r="N112" s="698"/>
      <c r="O112" s="698"/>
      <c r="P112" s="698"/>
      <c r="Q112" s="698"/>
      <c r="R112" s="698"/>
      <c r="S112" s="698"/>
    </row>
    <row r="113" spans="2:19" s="689" customFormat="1" ht="15.95" customHeight="1">
      <c r="B113" s="858" t="s">
        <v>108</v>
      </c>
      <c r="C113" s="799"/>
      <c r="D113" s="925">
        <f>'Scope of implementation'!C18</f>
        <v>0</v>
      </c>
      <c r="E113" s="1008" t="s">
        <v>1543</v>
      </c>
      <c r="F113" s="690"/>
      <c r="H113" s="698"/>
      <c r="I113" s="698"/>
      <c r="J113" s="698"/>
      <c r="K113" s="698"/>
      <c r="L113" s="698"/>
      <c r="M113" s="698"/>
      <c r="N113" s="698"/>
      <c r="O113" s="698"/>
      <c r="P113" s="698"/>
      <c r="Q113" s="698"/>
      <c r="R113" s="698"/>
      <c r="S113" s="698"/>
    </row>
    <row r="114" spans="2:19" s="689" customFormat="1" ht="15.95" customHeight="1">
      <c r="B114" s="858" t="s">
        <v>109</v>
      </c>
      <c r="C114" s="799"/>
      <c r="D114" s="925">
        <f>'Scope of implementation'!C19</f>
        <v>0</v>
      </c>
      <c r="E114" s="1009"/>
      <c r="F114" s="690"/>
      <c r="H114" s="698"/>
      <c r="I114" s="698"/>
      <c r="J114" s="698"/>
      <c r="K114" s="698"/>
      <c r="L114" s="698"/>
      <c r="M114" s="698"/>
      <c r="N114" s="698"/>
      <c r="O114" s="698"/>
      <c r="P114" s="698"/>
      <c r="Q114" s="698"/>
      <c r="R114" s="698"/>
      <c r="S114" s="698"/>
    </row>
    <row r="115" spans="2:19" s="689" customFormat="1" ht="15.95" customHeight="1">
      <c r="B115" s="858" t="s">
        <v>110</v>
      </c>
      <c r="C115" s="799"/>
      <c r="D115" s="925">
        <f>'Scope of implementation'!C20</f>
        <v>0</v>
      </c>
      <c r="E115" s="1009"/>
      <c r="F115" s="690"/>
      <c r="H115" s="698"/>
      <c r="I115" s="698"/>
      <c r="J115" s="698"/>
      <c r="K115" s="698"/>
      <c r="L115" s="698"/>
      <c r="M115" s="698"/>
      <c r="N115" s="698"/>
      <c r="O115" s="698"/>
      <c r="P115" s="698"/>
      <c r="Q115" s="698"/>
      <c r="R115" s="698"/>
      <c r="S115" s="698"/>
    </row>
    <row r="116" spans="2:19" s="689" customFormat="1" ht="15.95" customHeight="1">
      <c r="B116" s="858" t="s">
        <v>111</v>
      </c>
      <c r="C116" s="799"/>
      <c r="D116" s="925">
        <f>'Scope of implementation'!C21</f>
        <v>0</v>
      </c>
      <c r="E116" s="1009"/>
      <c r="F116" s="690"/>
      <c r="H116" s="698"/>
      <c r="I116" s="698"/>
      <c r="J116" s="698"/>
      <c r="K116" s="698"/>
      <c r="L116" s="698"/>
      <c r="M116" s="698"/>
      <c r="N116" s="698"/>
      <c r="O116" s="698"/>
      <c r="P116" s="698"/>
      <c r="Q116" s="698"/>
      <c r="R116" s="698"/>
      <c r="S116" s="698"/>
    </row>
    <row r="117" spans="2:19" s="689" customFormat="1" ht="15.95" customHeight="1">
      <c r="B117" s="858" t="s">
        <v>112</v>
      </c>
      <c r="C117" s="799"/>
      <c r="D117" s="925">
        <f>'Scope of implementation'!C22</f>
        <v>0</v>
      </c>
      <c r="E117" s="1013"/>
      <c r="F117" s="690"/>
      <c r="H117" s="698"/>
      <c r="I117" s="698"/>
      <c r="J117" s="698"/>
      <c r="K117" s="698"/>
      <c r="L117" s="698"/>
      <c r="M117" s="698"/>
      <c r="N117" s="698"/>
      <c r="O117" s="698"/>
      <c r="P117" s="698"/>
      <c r="Q117" s="698"/>
      <c r="R117" s="698"/>
      <c r="S117" s="698"/>
    </row>
    <row r="118" spans="2:19" s="689" customFormat="1">
      <c r="B118" s="926"/>
      <c r="C118" s="927"/>
      <c r="D118" s="920"/>
    </row>
    <row r="119" spans="2:19" ht="45">
      <c r="B119" s="855" t="s">
        <v>1423</v>
      </c>
      <c r="C119" s="808"/>
      <c r="D119" s="928"/>
      <c r="E119" s="826" t="s">
        <v>1501</v>
      </c>
      <c r="F119" s="860"/>
    </row>
    <row r="120" spans="2:19" s="689" customFormat="1" ht="48" customHeight="1">
      <c r="B120" s="868" t="s">
        <v>921</v>
      </c>
      <c r="C120" s="929"/>
      <c r="D120" s="774"/>
      <c r="E120" s="775" t="s">
        <v>1583</v>
      </c>
      <c r="F120" s="690" t="s">
        <v>957</v>
      </c>
      <c r="G120" s="725"/>
    </row>
    <row r="121" spans="2:19" s="689" customFormat="1">
      <c r="B121" s="765"/>
      <c r="C121" s="763"/>
      <c r="E121" s="747"/>
      <c r="F121" s="690"/>
    </row>
    <row r="122" spans="2:19" s="689" customFormat="1" ht="30">
      <c r="B122" s="765" t="s">
        <v>1526</v>
      </c>
      <c r="C122" s="843"/>
      <c r="D122" s="930"/>
      <c r="E122" s="747"/>
      <c r="F122" s="690"/>
    </row>
    <row r="123" spans="2:19" s="689" customFormat="1" ht="15.95" customHeight="1">
      <c r="B123" s="871" t="s">
        <v>108</v>
      </c>
      <c r="C123" s="799"/>
      <c r="D123" s="856"/>
      <c r="E123" s="1008" t="s">
        <v>1584</v>
      </c>
      <c r="F123" s="690"/>
    </row>
    <row r="124" spans="2:19" s="689" customFormat="1" ht="15.95" customHeight="1">
      <c r="B124" s="858" t="s">
        <v>109</v>
      </c>
      <c r="C124" s="799"/>
      <c r="D124" s="856"/>
      <c r="E124" s="1009"/>
      <c r="F124" s="690"/>
    </row>
    <row r="125" spans="2:19" s="689" customFormat="1" ht="15.95" customHeight="1">
      <c r="B125" s="858" t="s">
        <v>110</v>
      </c>
      <c r="C125" s="799"/>
      <c r="D125" s="856"/>
      <c r="E125" s="1009"/>
      <c r="F125" s="690"/>
    </row>
    <row r="126" spans="2:19" s="689" customFormat="1" ht="15.95" customHeight="1">
      <c r="B126" s="858" t="s">
        <v>111</v>
      </c>
      <c r="C126" s="799"/>
      <c r="D126" s="856"/>
      <c r="E126" s="1009"/>
      <c r="F126" s="690"/>
    </row>
    <row r="127" spans="2:19" s="689" customFormat="1" ht="15.95" customHeight="1">
      <c r="B127" s="858" t="s">
        <v>112</v>
      </c>
      <c r="C127" s="799"/>
      <c r="D127" s="856"/>
      <c r="E127" s="1013"/>
      <c r="F127" s="690"/>
    </row>
    <row r="128" spans="2:19" s="689" customFormat="1">
      <c r="B128" s="816"/>
      <c r="C128" s="874"/>
      <c r="D128" s="875"/>
      <c r="E128" s="747"/>
      <c r="F128" s="690"/>
    </row>
    <row r="129" spans="2:6" s="689" customFormat="1">
      <c r="B129" s="868" t="s">
        <v>1425</v>
      </c>
      <c r="C129" s="931"/>
      <c r="D129" s="932" t="s">
        <v>1392</v>
      </c>
      <c r="E129" s="793"/>
      <c r="F129" s="690"/>
    </row>
    <row r="130" spans="2:6" s="689" customFormat="1">
      <c r="B130" s="868" t="s">
        <v>1527</v>
      </c>
      <c r="C130" s="832"/>
      <c r="D130" s="933"/>
      <c r="F130" s="690"/>
    </row>
    <row r="131" spans="2:6" s="689" customFormat="1" ht="15.95" customHeight="1">
      <c r="B131" s="858" t="s">
        <v>108</v>
      </c>
      <c r="C131" s="799"/>
      <c r="D131" s="925">
        <f>'Scope of implementation'!C18</f>
        <v>0</v>
      </c>
      <c r="E131" s="1008" t="s">
        <v>1585</v>
      </c>
      <c r="F131" s="690"/>
    </row>
    <row r="132" spans="2:6" s="689" customFormat="1" ht="15.95" customHeight="1">
      <c r="B132" s="858" t="s">
        <v>109</v>
      </c>
      <c r="C132" s="799"/>
      <c r="D132" s="925">
        <f>'Scope of implementation'!C19</f>
        <v>0</v>
      </c>
      <c r="E132" s="1009"/>
      <c r="F132" s="690"/>
    </row>
    <row r="133" spans="2:6" s="689" customFormat="1" ht="15.95" customHeight="1">
      <c r="B133" s="858" t="s">
        <v>110</v>
      </c>
      <c r="C133" s="799"/>
      <c r="D133" s="925">
        <f>'Scope of implementation'!C20</f>
        <v>0</v>
      </c>
      <c r="E133" s="1009"/>
      <c r="F133" s="690"/>
    </row>
    <row r="134" spans="2:6" s="689" customFormat="1" ht="15.95" customHeight="1">
      <c r="B134" s="858" t="s">
        <v>111</v>
      </c>
      <c r="C134" s="799"/>
      <c r="D134" s="925">
        <f>'Scope of implementation'!C21</f>
        <v>0</v>
      </c>
      <c r="E134" s="1009"/>
      <c r="F134" s="690"/>
    </row>
    <row r="135" spans="2:6" s="689" customFormat="1" ht="15.95" customHeight="1">
      <c r="B135" s="858" t="s">
        <v>112</v>
      </c>
      <c r="C135" s="799"/>
      <c r="D135" s="925">
        <f>'Scope of implementation'!C22</f>
        <v>0</v>
      </c>
      <c r="E135" s="1013"/>
      <c r="F135" s="690"/>
    </row>
    <row r="136" spans="2:6" s="689" customFormat="1">
      <c r="B136" s="858"/>
      <c r="C136" s="877"/>
      <c r="D136" s="888"/>
      <c r="E136" s="747"/>
      <c r="F136" s="690"/>
    </row>
    <row r="137" spans="2:6" s="689" customFormat="1" ht="32.1" customHeight="1">
      <c r="B137" s="868" t="s">
        <v>1393</v>
      </c>
      <c r="C137" s="799"/>
      <c r="D137" s="815" t="s">
        <v>1544</v>
      </c>
      <c r="E137" s="813"/>
      <c r="F137" s="690"/>
    </row>
    <row r="138" spans="2:6" s="689" customFormat="1">
      <c r="B138" s="868"/>
      <c r="C138" s="747"/>
      <c r="D138" s="747"/>
      <c r="E138" s="747"/>
      <c r="F138" s="690"/>
    </row>
    <row r="139" spans="2:6" s="689" customFormat="1" ht="80.099999999999994" customHeight="1">
      <c r="B139" s="868" t="str">
        <f>"Enter number of participants that can be trained in one classroom-based training session"</f>
        <v>Enter number of participants that can be trained in one classroom-based training session</v>
      </c>
      <c r="C139" s="799"/>
      <c r="D139" s="934" t="str">
        <f>IF(C120="Classroom-based training","20-25","")</f>
        <v/>
      </c>
      <c r="E139" s="882" t="str">
        <f>IF(C120="Classroom-based training",CONCATENATE("For classroom-based training, this number will be used to calculate the number of training sessions required to train all the users.","For example, if the number of users to be trained is 110 and 20 users can be trained in one session, 6 sessions would have to be conducted.","If training is delivered through eLearning and costs for trainers does not apply, enter $0.00; other costs may be included under ‘other training costs per day.'"),"")</f>
        <v/>
      </c>
      <c r="F139" s="690"/>
    </row>
    <row r="140" spans="2:6" s="689" customFormat="1" ht="30">
      <c r="B140" s="868" t="str">
        <f>"Enter number of trainers per classroom-based training session, if applicable"</f>
        <v>Enter number of trainers per classroom-based training session, if applicable</v>
      </c>
      <c r="C140" s="799"/>
      <c r="D140" s="815"/>
      <c r="E140" s="813"/>
      <c r="F140" s="690"/>
    </row>
    <row r="141" spans="2:6" s="689" customFormat="1" ht="30">
      <c r="B141" s="868" t="str">
        <f>"Enter average daily rate for each trainer per classroom-based training, if applicable"</f>
        <v>Enter average daily rate for each trainer per classroom-based training, if applicable</v>
      </c>
      <c r="C141" s="799"/>
      <c r="D141" s="821" t="str">
        <f>IF(C120="Classroom-based training","$170 - 340 USD per day","")</f>
        <v/>
      </c>
      <c r="E141" s="813"/>
      <c r="F141" s="690"/>
    </row>
    <row r="142" spans="2:6" s="689" customFormat="1" ht="32.1" customHeight="1">
      <c r="B142" s="868" t="str">
        <f>"Enter per diem cost for trainer, if applicable"</f>
        <v>Enter per diem cost for trainer, if applicable</v>
      </c>
      <c r="C142" s="884"/>
      <c r="D142" s="935" t="str">
        <f>IF(C120="Classroom-based training","$150 - 200 per person per day","")</f>
        <v/>
      </c>
      <c r="E142" s="813"/>
      <c r="F142" s="690"/>
    </row>
    <row r="143" spans="2:6" s="689" customFormat="1" ht="80.099999999999994" customHeight="1">
      <c r="B143" s="868" t="str">
        <f>"Enter any other training costs per day"</f>
        <v>Enter any other training costs per day</v>
      </c>
      <c r="C143" s="936"/>
      <c r="D143" s="937"/>
      <c r="E143" s="886" t="str">
        <f>IF(C120="Classroom-based training",CONCATENATE("May include travel, facility and equipment rentals. Typical requirements: 1 facilitator should be present for every 20 participants assumed.","Costs should factor in number of training days, number of attendees, and location of training. The type of device utilized for the implementation (mobile, tablet or desktop computer) may impact training costs.","Training for mobile device systems may incur lower costs if users are familiar with similar mobile applications for other activities."),"")</f>
        <v/>
      </c>
      <c r="F143" s="690"/>
    </row>
    <row r="144" spans="2:6" s="689" customFormat="1">
      <c r="B144" s="868"/>
      <c r="C144" s="888"/>
      <c r="D144" s="888"/>
      <c r="E144" s="747"/>
      <c r="F144" s="690"/>
    </row>
    <row r="145" spans="2:6" s="689" customFormat="1" ht="32.1" customHeight="1">
      <c r="B145" s="868" t="s">
        <v>1566</v>
      </c>
      <c r="C145" s="888"/>
      <c r="D145" s="888"/>
      <c r="F145" s="690"/>
    </row>
    <row r="146" spans="2:6" s="689" customFormat="1" hidden="1" outlineLevel="1">
      <c r="B146" s="699" t="s">
        <v>108</v>
      </c>
      <c r="C146" s="780"/>
      <c r="D146" s="888"/>
      <c r="E146" s="747"/>
      <c r="F146" s="690"/>
    </row>
    <row r="147" spans="2:6" s="689" customFormat="1" hidden="1" outlineLevel="1">
      <c r="B147" s="689" t="s">
        <v>1447</v>
      </c>
      <c r="C147" s="780">
        <f>IFERROR(ROUNDUP((C131/$C$139),0),0)</f>
        <v>0</v>
      </c>
      <c r="D147" s="888"/>
      <c r="E147" s="747"/>
      <c r="F147" s="690"/>
    </row>
    <row r="148" spans="2:6" s="689" customFormat="1" hidden="1" outlineLevel="1">
      <c r="B148" s="689" t="s">
        <v>1520</v>
      </c>
      <c r="C148" s="780">
        <f>(C131*$C$137)*$C$129</f>
        <v>0</v>
      </c>
      <c r="D148" s="888"/>
      <c r="E148" s="747"/>
      <c r="F148" s="690"/>
    </row>
    <row r="149" spans="2:6" s="689" customFormat="1" ht="30" hidden="1" outlineLevel="1">
      <c r="B149" s="689" t="s">
        <v>1521</v>
      </c>
      <c r="C149" s="780">
        <f>($C$141+$C$142)*$C$140*$C$129*C147</f>
        <v>0</v>
      </c>
      <c r="D149" s="888"/>
      <c r="E149" s="747"/>
      <c r="F149" s="690"/>
    </row>
    <row r="150" spans="2:6" s="689" customFormat="1" ht="30" hidden="1" outlineLevel="1">
      <c r="B150" s="689" t="s">
        <v>1449</v>
      </c>
      <c r="C150" s="780">
        <f>$C$143*$C$129*C147</f>
        <v>0</v>
      </c>
      <c r="D150" s="888"/>
      <c r="E150" s="747"/>
      <c r="F150" s="690"/>
    </row>
    <row r="151" spans="2:6" s="689" customFormat="1" ht="30" hidden="1" outlineLevel="1">
      <c r="B151" s="889" t="s">
        <v>1456</v>
      </c>
      <c r="C151" s="938">
        <f>IF($C$120="Classroom-based training",SUM(C148:C150),C148)</f>
        <v>0</v>
      </c>
      <c r="D151" s="888"/>
      <c r="E151" s="747"/>
      <c r="F151" s="690"/>
    </row>
    <row r="152" spans="2:6" s="689" customFormat="1" ht="15.75" hidden="1" outlineLevel="1" thickBot="1">
      <c r="B152" s="745" t="s">
        <v>1586</v>
      </c>
      <c r="C152" s="939">
        <f>C151+C123</f>
        <v>0</v>
      </c>
      <c r="D152" s="888"/>
      <c r="E152" s="747"/>
      <c r="F152" s="690"/>
    </row>
    <row r="153" spans="2:6" s="689" customFormat="1" ht="15.75" hidden="1" outlineLevel="1" thickTop="1">
      <c r="C153" s="780"/>
      <c r="D153" s="888"/>
      <c r="E153" s="747"/>
      <c r="F153" s="690"/>
    </row>
    <row r="154" spans="2:6" s="689" customFormat="1" hidden="1" outlineLevel="1">
      <c r="B154" s="699" t="s">
        <v>109</v>
      </c>
      <c r="C154" s="780"/>
      <c r="D154" s="888"/>
      <c r="E154" s="747"/>
      <c r="F154" s="690"/>
    </row>
    <row r="155" spans="2:6" s="689" customFormat="1" hidden="1" outlineLevel="1">
      <c r="B155" s="689" t="s">
        <v>1447</v>
      </c>
      <c r="C155" s="780">
        <f>IFERROR(ROUNDUP((C132/$C$139),0),0)</f>
        <v>0</v>
      </c>
      <c r="D155" s="888"/>
      <c r="E155" s="747"/>
      <c r="F155" s="690"/>
    </row>
    <row r="156" spans="2:6" s="689" customFormat="1" hidden="1" outlineLevel="1">
      <c r="B156" s="689" t="s">
        <v>1520</v>
      </c>
      <c r="C156" s="780">
        <f>(C132*$C$137)*$C$129</f>
        <v>0</v>
      </c>
      <c r="D156" s="888"/>
      <c r="E156" s="747"/>
      <c r="F156" s="690"/>
    </row>
    <row r="157" spans="2:6" s="689" customFormat="1" ht="30" hidden="1" outlineLevel="1">
      <c r="B157" s="689" t="s">
        <v>1521</v>
      </c>
      <c r="C157" s="780">
        <f>($C$141+$C$142)*$C$140*$C$129*C155</f>
        <v>0</v>
      </c>
      <c r="D157" s="888"/>
      <c r="E157" s="747"/>
      <c r="F157" s="690"/>
    </row>
    <row r="158" spans="2:6" s="689" customFormat="1" ht="30" hidden="1" outlineLevel="1">
      <c r="B158" s="689" t="s">
        <v>1449</v>
      </c>
      <c r="C158" s="780">
        <f>$C$143*$C$129*C155</f>
        <v>0</v>
      </c>
      <c r="D158" s="888"/>
      <c r="E158" s="747"/>
      <c r="F158" s="690"/>
    </row>
    <row r="159" spans="2:6" s="689" customFormat="1" ht="30" hidden="1" outlineLevel="1">
      <c r="B159" s="889" t="s">
        <v>1460</v>
      </c>
      <c r="C159" s="938">
        <f>IF($C$120="Classroom-based training",SUM(C156:C158),C156)</f>
        <v>0</v>
      </c>
      <c r="D159" s="888"/>
      <c r="E159" s="747"/>
      <c r="F159" s="690"/>
    </row>
    <row r="160" spans="2:6" s="689" customFormat="1" ht="15.75" hidden="1" outlineLevel="1" thickBot="1">
      <c r="B160" s="745" t="s">
        <v>1587</v>
      </c>
      <c r="C160" s="939">
        <f>C159+C124</f>
        <v>0</v>
      </c>
      <c r="D160" s="888"/>
      <c r="E160" s="747"/>
      <c r="F160" s="690"/>
    </row>
    <row r="161" spans="2:6" s="689" customFormat="1" ht="15.75" hidden="1" outlineLevel="1" thickTop="1">
      <c r="C161" s="780"/>
      <c r="D161" s="888"/>
      <c r="E161" s="747"/>
      <c r="F161" s="690"/>
    </row>
    <row r="162" spans="2:6" s="689" customFormat="1" hidden="1" outlineLevel="1">
      <c r="B162" s="699" t="s">
        <v>110</v>
      </c>
      <c r="C162" s="780"/>
      <c r="D162" s="888"/>
      <c r="E162" s="747"/>
      <c r="F162" s="690"/>
    </row>
    <row r="163" spans="2:6" s="689" customFormat="1" hidden="1" outlineLevel="1">
      <c r="B163" s="689" t="s">
        <v>1447</v>
      </c>
      <c r="C163" s="780">
        <f>IFERROR(ROUNDUP((C133/$C$139),0),0)</f>
        <v>0</v>
      </c>
      <c r="D163" s="888"/>
      <c r="E163" s="747"/>
      <c r="F163" s="690"/>
    </row>
    <row r="164" spans="2:6" s="689" customFormat="1" hidden="1" outlineLevel="1">
      <c r="B164" s="689" t="s">
        <v>1520</v>
      </c>
      <c r="C164" s="940">
        <f>(C133*$C$137)*$C$129</f>
        <v>0</v>
      </c>
      <c r="D164" s="888"/>
      <c r="E164" s="747"/>
      <c r="F164" s="690"/>
    </row>
    <row r="165" spans="2:6" s="689" customFormat="1" ht="30" hidden="1" outlineLevel="1">
      <c r="B165" s="689" t="s">
        <v>1521</v>
      </c>
      <c r="C165" s="780">
        <f>($C$141+$C$142)*$C$140*$C$129*C163</f>
        <v>0</v>
      </c>
      <c r="D165" s="888"/>
      <c r="E165" s="747"/>
      <c r="F165" s="690"/>
    </row>
    <row r="166" spans="2:6" s="689" customFormat="1" ht="30" hidden="1" outlineLevel="1">
      <c r="B166" s="689" t="s">
        <v>1449</v>
      </c>
      <c r="C166" s="940">
        <f>$C$143*$C$129*C163</f>
        <v>0</v>
      </c>
      <c r="D166" s="888"/>
      <c r="E166" s="747"/>
      <c r="F166" s="690"/>
    </row>
    <row r="167" spans="2:6" s="689" customFormat="1" ht="30" hidden="1" outlineLevel="1">
      <c r="B167" s="889" t="s">
        <v>1459</v>
      </c>
      <c r="C167" s="938">
        <f>IF($C$120="Classroom-based training",SUM(C164:C166),C164)</f>
        <v>0</v>
      </c>
      <c r="D167" s="888"/>
      <c r="E167" s="747"/>
      <c r="F167" s="690"/>
    </row>
    <row r="168" spans="2:6" s="689" customFormat="1" ht="15.75" hidden="1" outlineLevel="1" thickBot="1">
      <c r="B168" s="892" t="s">
        <v>1588</v>
      </c>
      <c r="C168" s="939">
        <f>C167+C125</f>
        <v>0</v>
      </c>
      <c r="D168" s="888"/>
      <c r="E168" s="747"/>
      <c r="F168" s="690"/>
    </row>
    <row r="169" spans="2:6" s="689" customFormat="1" ht="15.75" hidden="1" outlineLevel="1" thickTop="1">
      <c r="C169" s="780"/>
      <c r="D169" s="888"/>
      <c r="E169" s="747"/>
      <c r="F169" s="690"/>
    </row>
    <row r="170" spans="2:6" s="689" customFormat="1" hidden="1" outlineLevel="1">
      <c r="B170" s="699" t="s">
        <v>111</v>
      </c>
      <c r="C170" s="780"/>
      <c r="D170" s="888"/>
      <c r="E170" s="747"/>
      <c r="F170" s="690"/>
    </row>
    <row r="171" spans="2:6" s="689" customFormat="1" hidden="1" outlineLevel="1">
      <c r="B171" s="689" t="s">
        <v>1447</v>
      </c>
      <c r="C171" s="780">
        <f>IFERROR(ROUNDUP((C134/$C$139),0),0)</f>
        <v>0</v>
      </c>
      <c r="D171" s="888"/>
      <c r="E171" s="747"/>
      <c r="F171" s="690"/>
    </row>
    <row r="172" spans="2:6" s="689" customFormat="1" hidden="1" outlineLevel="1">
      <c r="B172" s="689" t="s">
        <v>1520</v>
      </c>
      <c r="C172" s="780">
        <f>(C134*$C$137)*$C$129</f>
        <v>0</v>
      </c>
      <c r="D172" s="888"/>
      <c r="E172" s="747"/>
      <c r="F172" s="690"/>
    </row>
    <row r="173" spans="2:6" s="689" customFormat="1" ht="30" hidden="1" outlineLevel="1">
      <c r="B173" s="689" t="s">
        <v>1521</v>
      </c>
      <c r="C173" s="780">
        <f>($C$141+$C$142)*$C$140*$C$129*C171</f>
        <v>0</v>
      </c>
      <c r="D173" s="888"/>
      <c r="E173" s="747"/>
      <c r="F173" s="690"/>
    </row>
    <row r="174" spans="2:6" s="689" customFormat="1" ht="30" hidden="1" outlineLevel="1">
      <c r="B174" s="689" t="s">
        <v>1449</v>
      </c>
      <c r="C174" s="940">
        <f>$C$143*$C$129*C171</f>
        <v>0</v>
      </c>
      <c r="D174" s="888"/>
      <c r="E174" s="747"/>
      <c r="F174" s="690"/>
    </row>
    <row r="175" spans="2:6" s="689" customFormat="1" ht="30" hidden="1" outlineLevel="1">
      <c r="B175" s="889" t="s">
        <v>1458</v>
      </c>
      <c r="C175" s="938">
        <f>IF($C$120="Classroom-based training",SUM(C172:C174),C172)</f>
        <v>0</v>
      </c>
      <c r="D175" s="888"/>
      <c r="E175" s="747"/>
      <c r="F175" s="690"/>
    </row>
    <row r="176" spans="2:6" s="689" customFormat="1" ht="15.75" hidden="1" outlineLevel="1" thickBot="1">
      <c r="B176" s="892" t="s">
        <v>1589</v>
      </c>
      <c r="C176" s="939">
        <f>C175+C126</f>
        <v>0</v>
      </c>
      <c r="D176" s="888"/>
      <c r="E176" s="747"/>
      <c r="F176" s="690"/>
    </row>
    <row r="177" spans="2:11" s="689" customFormat="1" ht="15.75" hidden="1" outlineLevel="1" thickTop="1">
      <c r="C177" s="780"/>
      <c r="D177" s="888"/>
      <c r="E177" s="747"/>
      <c r="F177" s="690"/>
    </row>
    <row r="178" spans="2:11" s="689" customFormat="1" hidden="1" outlineLevel="1">
      <c r="B178" s="699" t="s">
        <v>112</v>
      </c>
      <c r="C178" s="780"/>
      <c r="D178" s="888"/>
      <c r="E178" s="747"/>
      <c r="F178" s="690"/>
    </row>
    <row r="179" spans="2:11" s="689" customFormat="1" hidden="1" outlineLevel="1">
      <c r="B179" s="689" t="s">
        <v>1447</v>
      </c>
      <c r="C179" s="780">
        <f>IFERROR(ROUNDUP((C135/$C$139),0),0)</f>
        <v>0</v>
      </c>
      <c r="D179" s="888"/>
      <c r="E179" s="747"/>
      <c r="F179" s="690"/>
    </row>
    <row r="180" spans="2:11" s="689" customFormat="1" hidden="1" outlineLevel="1">
      <c r="B180" s="689" t="s">
        <v>1520</v>
      </c>
      <c r="C180" s="780">
        <f>(C135*$C$137)*$C$129</f>
        <v>0</v>
      </c>
      <c r="D180" s="888"/>
      <c r="E180" s="747"/>
      <c r="F180" s="690"/>
    </row>
    <row r="181" spans="2:11" s="689" customFormat="1" ht="30" hidden="1" outlineLevel="1">
      <c r="B181" s="689" t="s">
        <v>1521</v>
      </c>
      <c r="C181" s="780">
        <f>($C$141+$C$142)*$C$140*$C$129*C179</f>
        <v>0</v>
      </c>
      <c r="D181" s="888"/>
      <c r="E181" s="747"/>
      <c r="F181" s="690"/>
    </row>
    <row r="182" spans="2:11" s="689" customFormat="1" ht="30" hidden="1" outlineLevel="1">
      <c r="B182" s="689" t="s">
        <v>1449</v>
      </c>
      <c r="C182" s="940">
        <f>$C$143*$C$129*C179</f>
        <v>0</v>
      </c>
      <c r="D182" s="888"/>
      <c r="E182" s="780"/>
      <c r="F182" s="690"/>
    </row>
    <row r="183" spans="2:11" s="689" customFormat="1" ht="30" hidden="1" outlineLevel="1">
      <c r="B183" s="889" t="s">
        <v>1457</v>
      </c>
      <c r="C183" s="938">
        <f>IF($C$120="Classroom-based training",SUM(C180:C182),C180)</f>
        <v>0</v>
      </c>
      <c r="D183" s="888"/>
      <c r="E183" s="747"/>
      <c r="F183" s="690"/>
    </row>
    <row r="184" spans="2:11" s="689" customFormat="1" ht="15.75" hidden="1" outlineLevel="1" thickBot="1">
      <c r="B184" s="892" t="s">
        <v>1590</v>
      </c>
      <c r="C184" s="939">
        <f>C183+C127</f>
        <v>0</v>
      </c>
      <c r="D184" s="888"/>
      <c r="E184" s="747"/>
      <c r="F184" s="690"/>
    </row>
    <row r="185" spans="2:11" s="689" customFormat="1" collapsed="1">
      <c r="B185" s="725"/>
      <c r="C185" s="927"/>
      <c r="D185" s="941"/>
    </row>
    <row r="186" spans="2:11" ht="111.95" customHeight="1">
      <c r="B186" s="855" t="s">
        <v>29</v>
      </c>
      <c r="C186" s="808"/>
      <c r="D186" s="823"/>
      <c r="E186" s="826" t="s">
        <v>1591</v>
      </c>
      <c r="F186" s="860"/>
    </row>
    <row r="187" spans="2:11" s="689" customFormat="1" ht="48" customHeight="1">
      <c r="B187" s="868" t="s">
        <v>1269</v>
      </c>
      <c r="C187" s="799"/>
      <c r="D187" s="774"/>
      <c r="E187" s="775" t="s">
        <v>1503</v>
      </c>
      <c r="F187" s="690" t="s">
        <v>957</v>
      </c>
    </row>
    <row r="188" spans="2:11" s="689" customFormat="1" ht="32.1" customHeight="1">
      <c r="B188" s="868" t="s">
        <v>1411</v>
      </c>
      <c r="C188" s="799"/>
      <c r="D188" s="942"/>
      <c r="E188" s="775" t="s">
        <v>1502</v>
      </c>
      <c r="F188" s="690" t="s">
        <v>957</v>
      </c>
      <c r="G188" s="698"/>
      <c r="H188" s="849"/>
      <c r="I188" s="849"/>
      <c r="J188" s="698"/>
      <c r="K188" s="698"/>
    </row>
    <row r="189" spans="2:11" s="689" customFormat="1">
      <c r="B189" s="868" t="s">
        <v>1528</v>
      </c>
      <c r="C189" s="857"/>
      <c r="D189" s="943"/>
      <c r="F189" s="791"/>
      <c r="G189" s="698"/>
      <c r="H189" s="849"/>
      <c r="I189" s="698"/>
      <c r="J189" s="698"/>
      <c r="K189" s="698"/>
    </row>
    <row r="190" spans="2:11" s="689" customFormat="1" ht="15.95" customHeight="1">
      <c r="B190" s="858" t="s">
        <v>108</v>
      </c>
      <c r="C190" s="799"/>
      <c r="D190" s="774"/>
      <c r="E190" s="1008" t="s">
        <v>1633</v>
      </c>
      <c r="F190" s="791"/>
      <c r="G190" s="698"/>
      <c r="H190" s="849"/>
      <c r="I190" s="698"/>
      <c r="J190" s="698"/>
      <c r="K190" s="698"/>
    </row>
    <row r="191" spans="2:11" s="689" customFormat="1" ht="15.95" customHeight="1">
      <c r="B191" s="858" t="s">
        <v>109</v>
      </c>
      <c r="C191" s="799"/>
      <c r="D191" s="774"/>
      <c r="E191" s="1009"/>
      <c r="F191" s="791"/>
      <c r="G191" s="698"/>
      <c r="H191" s="849"/>
      <c r="I191" s="698"/>
      <c r="J191" s="698"/>
      <c r="K191" s="698"/>
    </row>
    <row r="192" spans="2:11" s="689" customFormat="1" ht="15.95" customHeight="1">
      <c r="B192" s="858" t="s">
        <v>110</v>
      </c>
      <c r="C192" s="799"/>
      <c r="D192" s="774"/>
      <c r="E192" s="1009"/>
      <c r="F192" s="791"/>
      <c r="G192" s="698"/>
      <c r="H192" s="849"/>
      <c r="I192" s="698"/>
      <c r="J192" s="698"/>
      <c r="K192" s="698"/>
    </row>
    <row r="193" spans="2:11" s="689" customFormat="1" ht="15.95" customHeight="1">
      <c r="B193" s="858" t="s">
        <v>111</v>
      </c>
      <c r="C193" s="799"/>
      <c r="D193" s="774"/>
      <c r="E193" s="1009"/>
      <c r="F193" s="791"/>
      <c r="G193" s="698"/>
      <c r="H193" s="849"/>
      <c r="I193" s="698"/>
      <c r="J193" s="698"/>
      <c r="K193" s="698"/>
    </row>
    <row r="194" spans="2:11" s="689" customFormat="1" ht="15.95" customHeight="1">
      <c r="B194" s="858" t="s">
        <v>112</v>
      </c>
      <c r="C194" s="799"/>
      <c r="D194" s="774"/>
      <c r="E194" s="1013"/>
      <c r="F194" s="791"/>
      <c r="G194" s="698"/>
      <c r="H194" s="698"/>
      <c r="I194" s="698"/>
      <c r="J194" s="698"/>
      <c r="K194" s="698"/>
    </row>
    <row r="195" spans="2:11" s="689" customFormat="1" ht="15.95" hidden="1" customHeight="1">
      <c r="B195" s="858"/>
      <c r="C195" s="817"/>
      <c r="D195" s="777"/>
      <c r="E195" s="778"/>
      <c r="F195" s="791"/>
      <c r="G195" s="698"/>
      <c r="H195" s="698"/>
      <c r="I195" s="698"/>
      <c r="J195" s="698"/>
      <c r="K195" s="698"/>
    </row>
    <row r="196" spans="2:11" s="689" customFormat="1" ht="15.95" hidden="1" customHeight="1">
      <c r="B196" s="858" t="s">
        <v>108</v>
      </c>
      <c r="C196" s="944">
        <f>$C$188*C190</f>
        <v>0</v>
      </c>
      <c r="D196" s="922"/>
      <c r="E196" s="747" t="s">
        <v>1400</v>
      </c>
      <c r="G196" s="698"/>
      <c r="H196" s="698"/>
      <c r="I196" s="698"/>
      <c r="J196" s="698"/>
      <c r="K196" s="698"/>
    </row>
    <row r="197" spans="2:11" s="689" customFormat="1" ht="15.95" hidden="1" customHeight="1">
      <c r="B197" s="858" t="s">
        <v>109</v>
      </c>
      <c r="C197" s="944">
        <f t="shared" ref="C197:C200" si="0">$C$188*C191</f>
        <v>0</v>
      </c>
      <c r="D197" s="922"/>
      <c r="E197" s="945"/>
      <c r="G197" s="698"/>
      <c r="H197" s="698"/>
      <c r="I197" s="698"/>
      <c r="J197" s="698"/>
      <c r="K197" s="698"/>
    </row>
    <row r="198" spans="2:11" s="689" customFormat="1" ht="15.95" hidden="1" customHeight="1">
      <c r="B198" s="858" t="s">
        <v>110</v>
      </c>
      <c r="C198" s="944">
        <f t="shared" si="0"/>
        <v>0</v>
      </c>
      <c r="D198" s="922"/>
      <c r="E198" s="945"/>
      <c r="G198" s="698"/>
      <c r="H198" s="698"/>
      <c r="I198" s="698"/>
      <c r="J198" s="698"/>
      <c r="K198" s="698"/>
    </row>
    <row r="199" spans="2:11" s="689" customFormat="1" ht="15.95" hidden="1" customHeight="1">
      <c r="B199" s="858" t="s">
        <v>111</v>
      </c>
      <c r="C199" s="944">
        <f t="shared" si="0"/>
        <v>0</v>
      </c>
      <c r="D199" s="922"/>
      <c r="E199" s="945"/>
      <c r="G199" s="698"/>
      <c r="H199" s="698"/>
      <c r="I199" s="698"/>
      <c r="J199" s="698"/>
      <c r="K199" s="698"/>
    </row>
    <row r="200" spans="2:11" s="689" customFormat="1" ht="15.95" hidden="1" customHeight="1">
      <c r="B200" s="858" t="s">
        <v>112</v>
      </c>
      <c r="C200" s="944">
        <f t="shared" si="0"/>
        <v>0</v>
      </c>
      <c r="D200" s="922"/>
      <c r="E200" s="945"/>
      <c r="G200" s="698"/>
      <c r="H200" s="698"/>
      <c r="I200" s="698"/>
      <c r="J200" s="698"/>
      <c r="K200" s="698"/>
    </row>
    <row r="201" spans="2:11" s="689" customFormat="1">
      <c r="B201" s="816"/>
      <c r="C201" s="946"/>
      <c r="D201" s="777"/>
      <c r="E201" s="747"/>
      <c r="G201" s="698"/>
      <c r="H201" s="698"/>
      <c r="I201" s="698"/>
      <c r="J201" s="698"/>
      <c r="K201" s="698"/>
    </row>
    <row r="202" spans="2:11" s="689" customFormat="1" ht="15.95" customHeight="1">
      <c r="B202" s="868" t="s">
        <v>1270</v>
      </c>
      <c r="C202" s="851"/>
      <c r="D202" s="947"/>
      <c r="E202" s="747"/>
      <c r="F202" s="814" t="s">
        <v>1311</v>
      </c>
      <c r="G202" s="698"/>
      <c r="H202" s="698"/>
      <c r="I202" s="698"/>
      <c r="J202" s="698"/>
      <c r="K202" s="698"/>
    </row>
    <row r="203" spans="2:11" s="689" customFormat="1" ht="15.95" customHeight="1">
      <c r="B203" s="858" t="s">
        <v>108</v>
      </c>
      <c r="C203" s="799"/>
      <c r="D203" s="901"/>
      <c r="E203" s="1008" t="s">
        <v>1504</v>
      </c>
      <c r="F203" s="814"/>
      <c r="G203" s="849"/>
      <c r="H203" s="896"/>
      <c r="I203" s="698"/>
      <c r="J203" s="698"/>
      <c r="K203" s="698"/>
    </row>
    <row r="204" spans="2:11" s="689" customFormat="1" ht="15.95" customHeight="1">
      <c r="B204" s="858" t="s">
        <v>109</v>
      </c>
      <c r="C204" s="799"/>
      <c r="D204" s="901"/>
      <c r="E204" s="1009"/>
      <c r="F204" s="814"/>
      <c r="G204" s="849"/>
      <c r="H204" s="698"/>
      <c r="I204" s="698"/>
      <c r="J204" s="698"/>
      <c r="K204" s="698"/>
    </row>
    <row r="205" spans="2:11" s="689" customFormat="1" ht="15.95" customHeight="1">
      <c r="B205" s="858" t="s">
        <v>110</v>
      </c>
      <c r="C205" s="799"/>
      <c r="D205" s="901"/>
      <c r="E205" s="1009"/>
      <c r="F205" s="814"/>
      <c r="G205" s="849"/>
      <c r="H205" s="698"/>
      <c r="I205" s="698"/>
      <c r="J205" s="698"/>
      <c r="K205" s="698"/>
    </row>
    <row r="206" spans="2:11" s="689" customFormat="1" ht="15.95" customHeight="1">
      <c r="B206" s="858" t="s">
        <v>111</v>
      </c>
      <c r="C206" s="799"/>
      <c r="D206" s="901"/>
      <c r="E206" s="1009"/>
      <c r="F206" s="814"/>
      <c r="G206" s="849"/>
      <c r="H206" s="698"/>
      <c r="I206" s="698"/>
      <c r="J206" s="698"/>
      <c r="K206" s="698"/>
    </row>
    <row r="207" spans="2:11" s="689" customFormat="1" ht="15.95" customHeight="1">
      <c r="B207" s="858" t="s">
        <v>112</v>
      </c>
      <c r="C207" s="799"/>
      <c r="D207" s="901"/>
      <c r="E207" s="1013"/>
      <c r="F207" s="814"/>
      <c r="G207" s="849"/>
      <c r="H207" s="698"/>
      <c r="I207" s="698"/>
      <c r="J207" s="698"/>
      <c r="K207" s="698"/>
    </row>
    <row r="208" spans="2:11" s="689" customFormat="1" ht="15.95" customHeight="1">
      <c r="B208" s="858"/>
      <c r="C208" s="946"/>
      <c r="D208" s="777"/>
      <c r="E208" s="778"/>
      <c r="F208" s="814"/>
      <c r="G208" s="698"/>
      <c r="H208" s="698"/>
      <c r="I208" s="698"/>
      <c r="J208" s="698"/>
      <c r="K208" s="698"/>
    </row>
    <row r="209" spans="2:11" s="689" customFormat="1" ht="32.1" customHeight="1">
      <c r="B209" s="868" t="s">
        <v>1565</v>
      </c>
      <c r="C209" s="851"/>
      <c r="D209" s="948"/>
      <c r="E209" s="747"/>
      <c r="F209" s="791"/>
      <c r="G209" s="698"/>
      <c r="H209" s="698"/>
      <c r="I209" s="698"/>
      <c r="J209" s="698"/>
      <c r="K209" s="698"/>
    </row>
    <row r="210" spans="2:11" s="689" customFormat="1" ht="14.45" customHeight="1">
      <c r="B210" s="858" t="s">
        <v>108</v>
      </c>
      <c r="C210" s="799"/>
      <c r="D210" s="774"/>
      <c r="E210" s="1008" t="s">
        <v>1505</v>
      </c>
      <c r="F210" s="791"/>
      <c r="G210" s="849"/>
      <c r="H210" s="896"/>
      <c r="I210" s="698"/>
      <c r="J210" s="698"/>
      <c r="K210" s="698"/>
    </row>
    <row r="211" spans="2:11" s="689" customFormat="1">
      <c r="B211" s="858" t="s">
        <v>109</v>
      </c>
      <c r="C211" s="799"/>
      <c r="D211" s="774"/>
      <c r="E211" s="1009"/>
      <c r="F211" s="791"/>
      <c r="G211" s="849"/>
      <c r="H211" s="698"/>
      <c r="I211" s="698"/>
      <c r="J211" s="698"/>
      <c r="K211" s="698"/>
    </row>
    <row r="212" spans="2:11" s="689" customFormat="1">
      <c r="B212" s="858" t="s">
        <v>110</v>
      </c>
      <c r="C212" s="799"/>
      <c r="D212" s="774"/>
      <c r="E212" s="1009"/>
      <c r="F212" s="791"/>
      <c r="G212" s="849"/>
      <c r="H212" s="698"/>
      <c r="I212" s="698"/>
      <c r="J212" s="698"/>
      <c r="K212" s="698"/>
    </row>
    <row r="213" spans="2:11" s="689" customFormat="1">
      <c r="B213" s="858" t="s">
        <v>111</v>
      </c>
      <c r="C213" s="799"/>
      <c r="D213" s="774"/>
      <c r="E213" s="1009"/>
      <c r="F213" s="791"/>
      <c r="G213" s="849"/>
      <c r="H213" s="698"/>
      <c r="I213" s="698"/>
      <c r="J213" s="698"/>
      <c r="K213" s="698"/>
    </row>
    <row r="214" spans="2:11" s="689" customFormat="1">
      <c r="B214" s="858" t="s">
        <v>112</v>
      </c>
      <c r="C214" s="799"/>
      <c r="D214" s="774"/>
      <c r="E214" s="1013"/>
      <c r="F214" s="791"/>
      <c r="G214" s="849"/>
      <c r="H214" s="698"/>
      <c r="I214" s="698"/>
      <c r="J214" s="698"/>
      <c r="K214" s="698"/>
    </row>
    <row r="215" spans="2:11" s="689" customFormat="1">
      <c r="B215" s="858"/>
      <c r="C215" s="949"/>
      <c r="D215" s="777"/>
      <c r="E215" s="778"/>
      <c r="F215" s="791"/>
      <c r="G215" s="698"/>
      <c r="H215" s="698"/>
      <c r="I215" s="698"/>
      <c r="J215" s="698"/>
      <c r="K215" s="698"/>
    </row>
    <row r="216" spans="2:11" s="689" customFormat="1" ht="96" customHeight="1">
      <c r="B216" s="868" t="s">
        <v>1125</v>
      </c>
      <c r="C216" s="900"/>
      <c r="D216" s="901">
        <v>0.2</v>
      </c>
      <c r="E216" s="775" t="s">
        <v>1564</v>
      </c>
      <c r="F216" s="791"/>
      <c r="G216" s="698"/>
      <c r="H216" s="698"/>
      <c r="I216" s="698"/>
      <c r="J216" s="698"/>
      <c r="K216" s="698"/>
    </row>
    <row r="217" spans="2:11" s="689" customFormat="1" hidden="1">
      <c r="B217" s="868" t="s">
        <v>1441</v>
      </c>
      <c r="C217" s="801"/>
      <c r="D217" s="821"/>
      <c r="E217" s="747"/>
      <c r="F217" s="791"/>
      <c r="G217" s="698"/>
      <c r="H217" s="698"/>
      <c r="I217" s="698"/>
      <c r="J217" s="698"/>
      <c r="K217" s="698"/>
    </row>
    <row r="218" spans="2:11" s="689" customFormat="1" hidden="1">
      <c r="B218" s="858" t="s">
        <v>108</v>
      </c>
      <c r="C218" s="800">
        <f>$C$216*SUM(C210)</f>
        <v>0</v>
      </c>
      <c r="D218" s="821"/>
      <c r="E218" s="747"/>
      <c r="F218" s="791"/>
      <c r="G218" s="698"/>
      <c r="H218" s="698"/>
      <c r="I218" s="698"/>
      <c r="J218" s="698"/>
      <c r="K218" s="698"/>
    </row>
    <row r="219" spans="2:11" s="689" customFormat="1" hidden="1">
      <c r="B219" s="858" t="s">
        <v>109</v>
      </c>
      <c r="C219" s="800">
        <f>$C$216*SUM(C210:C211)</f>
        <v>0</v>
      </c>
      <c r="D219" s="821"/>
      <c r="E219" s="747"/>
      <c r="F219" s="791"/>
      <c r="G219" s="698"/>
      <c r="H219" s="698"/>
      <c r="I219" s="698"/>
      <c r="J219" s="698"/>
      <c r="K219" s="698"/>
    </row>
    <row r="220" spans="2:11" s="689" customFormat="1" hidden="1">
      <c r="B220" s="858" t="s">
        <v>110</v>
      </c>
      <c r="C220" s="800">
        <f>$C$216*SUM(C210:C212)</f>
        <v>0</v>
      </c>
      <c r="D220" s="821"/>
      <c r="E220" s="747"/>
      <c r="F220" s="791"/>
      <c r="G220" s="698"/>
      <c r="H220" s="698"/>
      <c r="I220" s="698"/>
      <c r="J220" s="698"/>
      <c r="K220" s="698"/>
    </row>
    <row r="221" spans="2:11" s="689" customFormat="1" hidden="1">
      <c r="B221" s="858" t="s">
        <v>111</v>
      </c>
      <c r="C221" s="800">
        <f>$C$216*SUM(C210:C213)</f>
        <v>0</v>
      </c>
      <c r="D221" s="821"/>
      <c r="E221" s="747"/>
      <c r="F221" s="791"/>
      <c r="G221" s="698"/>
      <c r="H221" s="698"/>
      <c r="I221" s="698"/>
      <c r="J221" s="698"/>
      <c r="K221" s="698"/>
    </row>
    <row r="222" spans="2:11" s="689" customFormat="1" hidden="1">
      <c r="B222" s="858" t="s">
        <v>112</v>
      </c>
      <c r="C222" s="800">
        <f>$C$216*SUM(C210:C214)</f>
        <v>0</v>
      </c>
      <c r="D222" s="821"/>
      <c r="E222" s="747"/>
      <c r="F222" s="791"/>
      <c r="G222" s="698"/>
      <c r="H222" s="698"/>
      <c r="I222" s="698"/>
      <c r="J222" s="698"/>
      <c r="K222" s="698"/>
    </row>
    <row r="223" spans="2:11" s="689" customFormat="1" ht="32.1" customHeight="1">
      <c r="B223" s="868" t="s">
        <v>1272</v>
      </c>
      <c r="C223" s="799"/>
      <c r="D223" s="774"/>
      <c r="E223" s="882" t="s">
        <v>1501</v>
      </c>
      <c r="F223" s="791"/>
      <c r="G223" s="698"/>
      <c r="H223" s="698"/>
      <c r="I223" s="698"/>
      <c r="J223" s="698"/>
      <c r="K223" s="698"/>
    </row>
    <row r="224" spans="2:11" s="689" customFormat="1" ht="15.95" customHeight="1">
      <c r="B224" s="868" t="s">
        <v>1123</v>
      </c>
      <c r="C224" s="799"/>
      <c r="D224" s="785"/>
      <c r="E224" s="950"/>
      <c r="G224" s="698"/>
      <c r="H224" s="698"/>
      <c r="I224" s="698"/>
      <c r="J224" s="698"/>
      <c r="K224" s="698"/>
    </row>
    <row r="225" spans="2:11" s="689" customFormat="1">
      <c r="C225" s="763"/>
      <c r="D225" s="763"/>
      <c r="G225" s="698"/>
      <c r="H225" s="698"/>
      <c r="I225" s="698"/>
      <c r="J225" s="698"/>
      <c r="K225" s="698"/>
    </row>
    <row r="226" spans="2:11" ht="32.1" customHeight="1">
      <c r="B226" s="855" t="s">
        <v>31</v>
      </c>
      <c r="C226" s="808"/>
      <c r="D226" s="823"/>
      <c r="E226" s="826" t="s">
        <v>1506</v>
      </c>
      <c r="F226" s="860"/>
    </row>
    <row r="227" spans="2:11" s="689" customFormat="1" ht="81.95" customHeight="1">
      <c r="B227" s="868" t="s">
        <v>1405</v>
      </c>
      <c r="C227" s="799"/>
      <c r="D227" s="942"/>
      <c r="E227" s="775" t="s">
        <v>1507</v>
      </c>
      <c r="F227" s="690" t="s">
        <v>957</v>
      </c>
      <c r="G227" s="698"/>
      <c r="H227" s="698"/>
      <c r="I227" s="698"/>
      <c r="J227" s="698"/>
      <c r="K227" s="698"/>
    </row>
    <row r="228" spans="2:11" s="689" customFormat="1" ht="30">
      <c r="B228" s="868" t="s">
        <v>1529</v>
      </c>
      <c r="C228" s="951"/>
      <c r="D228" s="879"/>
      <c r="F228" s="690" t="s">
        <v>959</v>
      </c>
      <c r="G228" s="698"/>
      <c r="H228" s="698"/>
      <c r="I228" s="698"/>
      <c r="J228" s="698"/>
      <c r="K228" s="698"/>
    </row>
    <row r="229" spans="2:11" s="689" customFormat="1" ht="15.95" customHeight="1">
      <c r="B229" s="858" t="s">
        <v>108</v>
      </c>
      <c r="C229" s="799"/>
      <c r="D229" s="934"/>
      <c r="E229" s="1008" t="s">
        <v>1634</v>
      </c>
      <c r="F229" s="690"/>
      <c r="G229" s="698"/>
      <c r="H229" s="698"/>
      <c r="I229" s="698"/>
      <c r="J229" s="698"/>
      <c r="K229" s="698"/>
    </row>
    <row r="230" spans="2:11" s="689" customFormat="1" ht="15.95" customHeight="1">
      <c r="B230" s="858" t="s">
        <v>109</v>
      </c>
      <c r="C230" s="799"/>
      <c r="D230" s="934"/>
      <c r="E230" s="1009"/>
      <c r="F230" s="690"/>
      <c r="G230" s="698"/>
      <c r="H230" s="698"/>
      <c r="I230" s="698"/>
      <c r="J230" s="698"/>
      <c r="K230" s="698"/>
    </row>
    <row r="231" spans="2:11" s="689" customFormat="1" ht="15.95" customHeight="1">
      <c r="B231" s="858" t="s">
        <v>110</v>
      </c>
      <c r="C231" s="799"/>
      <c r="D231" s="934"/>
      <c r="E231" s="1009"/>
      <c r="F231" s="690"/>
      <c r="G231" s="698"/>
      <c r="H231" s="698"/>
      <c r="I231" s="698"/>
      <c r="J231" s="698"/>
      <c r="K231" s="698"/>
    </row>
    <row r="232" spans="2:11" s="689" customFormat="1" ht="15.95" customHeight="1">
      <c r="B232" s="858" t="s">
        <v>111</v>
      </c>
      <c r="C232" s="799"/>
      <c r="D232" s="934"/>
      <c r="E232" s="1009"/>
      <c r="F232" s="690"/>
      <c r="G232" s="698"/>
      <c r="H232" s="698"/>
      <c r="I232" s="698"/>
      <c r="J232" s="698"/>
      <c r="K232" s="698"/>
    </row>
    <row r="233" spans="2:11" s="689" customFormat="1" ht="15.95" customHeight="1">
      <c r="B233" s="858" t="s">
        <v>112</v>
      </c>
      <c r="C233" s="799"/>
      <c r="D233" s="934"/>
      <c r="E233" s="1013"/>
      <c r="F233" s="690"/>
      <c r="G233" s="698"/>
      <c r="H233" s="698"/>
      <c r="I233" s="698"/>
      <c r="J233" s="698"/>
      <c r="K233" s="698"/>
    </row>
    <row r="234" spans="2:11" s="689" customFormat="1">
      <c r="C234" s="862"/>
      <c r="D234" s="763"/>
      <c r="G234" s="698"/>
      <c r="H234" s="698"/>
      <c r="I234" s="698"/>
      <c r="J234" s="698"/>
      <c r="K234" s="698"/>
    </row>
    <row r="235" spans="2:11" ht="32.1" customHeight="1">
      <c r="B235" s="855" t="s">
        <v>33</v>
      </c>
      <c r="C235" s="863"/>
      <c r="D235" s="823"/>
      <c r="E235" s="826" t="s">
        <v>1508</v>
      </c>
      <c r="F235" s="860"/>
    </row>
    <row r="236" spans="2:11" s="689" customFormat="1" ht="51.95" customHeight="1">
      <c r="B236" s="868" t="s">
        <v>1406</v>
      </c>
      <c r="C236" s="799"/>
      <c r="D236" s="952"/>
      <c r="E236" s="775" t="s">
        <v>1509</v>
      </c>
      <c r="F236" s="690" t="s">
        <v>957</v>
      </c>
      <c r="G236" s="698"/>
      <c r="H236" s="698"/>
      <c r="I236" s="698"/>
      <c r="J236" s="698"/>
      <c r="K236" s="698"/>
    </row>
    <row r="237" spans="2:11" s="689" customFormat="1" ht="15.95" customHeight="1">
      <c r="B237" s="868" t="s">
        <v>1530</v>
      </c>
      <c r="C237" s="857"/>
      <c r="D237" s="943"/>
      <c r="F237" s="690"/>
      <c r="G237" s="698"/>
      <c r="H237" s="698"/>
      <c r="I237" s="698"/>
      <c r="J237" s="698"/>
      <c r="K237" s="698"/>
    </row>
    <row r="238" spans="2:11" s="689" customFormat="1" ht="15.95" customHeight="1">
      <c r="B238" s="858" t="s">
        <v>108</v>
      </c>
      <c r="C238" s="799"/>
      <c r="D238" s="774"/>
      <c r="E238" s="1008" t="s">
        <v>1634</v>
      </c>
      <c r="F238" s="690"/>
      <c r="G238" s="698"/>
      <c r="H238" s="698"/>
      <c r="I238" s="698"/>
      <c r="J238" s="698"/>
      <c r="K238" s="698"/>
    </row>
    <row r="239" spans="2:11" s="689" customFormat="1" ht="15.95" customHeight="1">
      <c r="B239" s="858" t="s">
        <v>109</v>
      </c>
      <c r="C239" s="799"/>
      <c r="D239" s="774"/>
      <c r="E239" s="1009"/>
      <c r="F239" s="690"/>
      <c r="G239" s="698"/>
      <c r="H239" s="698"/>
      <c r="I239" s="698"/>
      <c r="J239" s="698"/>
      <c r="K239" s="698"/>
    </row>
    <row r="240" spans="2:11" s="689" customFormat="1" ht="15.95" customHeight="1">
      <c r="B240" s="858" t="s">
        <v>110</v>
      </c>
      <c r="C240" s="799"/>
      <c r="D240" s="774"/>
      <c r="E240" s="1009"/>
      <c r="F240" s="690"/>
      <c r="G240" s="698"/>
      <c r="H240" s="698"/>
      <c r="I240" s="698"/>
      <c r="J240" s="698"/>
      <c r="K240" s="698"/>
    </row>
    <row r="241" spans="2:11" s="689" customFormat="1" ht="15.95" customHeight="1">
      <c r="B241" s="858" t="s">
        <v>111</v>
      </c>
      <c r="C241" s="799"/>
      <c r="D241" s="774"/>
      <c r="E241" s="1009"/>
      <c r="F241" s="690"/>
      <c r="G241" s="698"/>
      <c r="H241" s="698"/>
      <c r="I241" s="698"/>
      <c r="J241" s="698"/>
      <c r="K241" s="698"/>
    </row>
    <row r="242" spans="2:11" s="689" customFormat="1" ht="15.95" customHeight="1">
      <c r="B242" s="858" t="s">
        <v>112</v>
      </c>
      <c r="C242" s="799"/>
      <c r="D242" s="774"/>
      <c r="E242" s="1013"/>
      <c r="F242" s="690"/>
      <c r="G242" s="698"/>
      <c r="H242" s="698"/>
      <c r="I242" s="698"/>
      <c r="J242" s="698"/>
      <c r="K242" s="698"/>
    </row>
    <row r="243" spans="2:11" s="689" customFormat="1">
      <c r="C243" s="862"/>
      <c r="D243" s="763"/>
      <c r="G243" s="698"/>
      <c r="H243" s="698"/>
      <c r="I243" s="698"/>
      <c r="J243" s="698"/>
      <c r="K243" s="698"/>
    </row>
    <row r="244" spans="2:11" ht="32.1" customHeight="1">
      <c r="B244" s="855" t="s">
        <v>35</v>
      </c>
      <c r="C244" s="863"/>
      <c r="D244" s="823"/>
      <c r="E244" s="826" t="s">
        <v>1510</v>
      </c>
      <c r="F244" s="860"/>
    </row>
    <row r="245" spans="2:11" s="689" customFormat="1" ht="15.95" customHeight="1">
      <c r="B245" s="868" t="s">
        <v>891</v>
      </c>
      <c r="C245" s="857"/>
      <c r="D245" s="879"/>
      <c r="E245" s="953"/>
      <c r="F245" s="814" t="s">
        <v>1311</v>
      </c>
      <c r="G245" s="698"/>
      <c r="H245" s="698"/>
      <c r="I245" s="698"/>
      <c r="J245" s="698"/>
      <c r="K245" s="698"/>
    </row>
    <row r="246" spans="2:11" s="689" customFormat="1" ht="15.95" customHeight="1">
      <c r="B246" s="858" t="s">
        <v>108</v>
      </c>
      <c r="C246" s="799"/>
      <c r="D246" s="774"/>
      <c r="E246" s="1008" t="s">
        <v>1592</v>
      </c>
      <c r="F246" s="814"/>
      <c r="G246" s="698"/>
      <c r="H246" s="698"/>
      <c r="I246" s="698"/>
      <c r="J246" s="698"/>
      <c r="K246" s="698"/>
    </row>
    <row r="247" spans="2:11" s="689" customFormat="1" ht="15.95" customHeight="1">
      <c r="B247" s="858" t="s">
        <v>109</v>
      </c>
      <c r="C247" s="799"/>
      <c r="D247" s="774"/>
      <c r="E247" s="1009"/>
      <c r="F247" s="814"/>
      <c r="G247" s="698"/>
      <c r="H247" s="698"/>
      <c r="I247" s="698"/>
      <c r="J247" s="698"/>
      <c r="K247" s="698"/>
    </row>
    <row r="248" spans="2:11" s="689" customFormat="1" ht="15.95" customHeight="1">
      <c r="B248" s="858" t="s">
        <v>110</v>
      </c>
      <c r="C248" s="799"/>
      <c r="D248" s="774"/>
      <c r="E248" s="1009"/>
      <c r="F248" s="814"/>
      <c r="G248" s="698"/>
      <c r="H248" s="698"/>
      <c r="I248" s="698"/>
      <c r="J248" s="698"/>
      <c r="K248" s="698"/>
    </row>
    <row r="249" spans="2:11" s="689" customFormat="1" ht="15.95" customHeight="1">
      <c r="B249" s="858" t="s">
        <v>111</v>
      </c>
      <c r="C249" s="799"/>
      <c r="D249" s="774"/>
      <c r="E249" s="1009"/>
      <c r="F249" s="814"/>
      <c r="G249" s="698"/>
      <c r="H249" s="698"/>
      <c r="I249" s="698"/>
      <c r="J249" s="698"/>
      <c r="K249" s="698"/>
    </row>
    <row r="250" spans="2:11" s="689" customFormat="1" ht="15.95" customHeight="1">
      <c r="B250" s="858" t="s">
        <v>112</v>
      </c>
      <c r="C250" s="799"/>
      <c r="D250" s="774"/>
      <c r="E250" s="1013"/>
      <c r="F250" s="814"/>
      <c r="G250" s="698"/>
      <c r="H250" s="698"/>
      <c r="I250" s="698"/>
      <c r="J250" s="698"/>
      <c r="K250" s="698"/>
    </row>
    <row r="251" spans="2:11" s="689" customFormat="1">
      <c r="C251" s="862"/>
      <c r="D251" s="763"/>
      <c r="G251" s="698"/>
      <c r="H251" s="698"/>
      <c r="I251" s="698"/>
      <c r="J251" s="698"/>
      <c r="K251" s="698"/>
    </row>
    <row r="252" spans="2:11">
      <c r="B252" s="855" t="s">
        <v>0</v>
      </c>
      <c r="C252" s="863"/>
      <c r="D252" s="823"/>
      <c r="E252" s="826" t="s">
        <v>1511</v>
      </c>
      <c r="F252" s="860"/>
    </row>
    <row r="253" spans="2:11" s="689" customFormat="1" ht="32.1" customHeight="1">
      <c r="B253" s="868" t="s">
        <v>1407</v>
      </c>
      <c r="C253" s="799"/>
      <c r="D253" s="942"/>
      <c r="E253" s="775" t="s">
        <v>1512</v>
      </c>
      <c r="F253" s="690" t="s">
        <v>957</v>
      </c>
      <c r="G253" s="698"/>
      <c r="H253" s="698"/>
      <c r="I253" s="698"/>
      <c r="J253" s="698"/>
      <c r="K253" s="698"/>
    </row>
    <row r="254" spans="2:11" s="689" customFormat="1" ht="15.95" customHeight="1">
      <c r="B254" s="868" t="s">
        <v>1531</v>
      </c>
      <c r="C254" s="857"/>
      <c r="D254" s="879"/>
      <c r="F254" s="690"/>
      <c r="G254" s="698"/>
      <c r="H254" s="698"/>
      <c r="I254" s="698"/>
      <c r="J254" s="698"/>
      <c r="K254" s="698"/>
    </row>
    <row r="255" spans="2:11" s="689" customFormat="1" ht="15.95" customHeight="1">
      <c r="B255" s="858" t="s">
        <v>108</v>
      </c>
      <c r="C255" s="799"/>
      <c r="D255" s="774"/>
      <c r="E255" s="1008" t="s">
        <v>1634</v>
      </c>
      <c r="F255" s="690"/>
      <c r="G255" s="698"/>
      <c r="H255" s="698"/>
      <c r="I255" s="698"/>
      <c r="J255" s="698"/>
      <c r="K255" s="698"/>
    </row>
    <row r="256" spans="2:11" s="689" customFormat="1" ht="15.95" customHeight="1">
      <c r="B256" s="858" t="s">
        <v>109</v>
      </c>
      <c r="C256" s="799"/>
      <c r="D256" s="774"/>
      <c r="E256" s="1009"/>
      <c r="F256" s="690"/>
      <c r="G256" s="698"/>
      <c r="H256" s="698"/>
      <c r="I256" s="698"/>
      <c r="J256" s="698"/>
      <c r="K256" s="698"/>
    </row>
    <row r="257" spans="2:11" s="689" customFormat="1" ht="15.95" customHeight="1">
      <c r="B257" s="858" t="s">
        <v>110</v>
      </c>
      <c r="C257" s="799"/>
      <c r="D257" s="774"/>
      <c r="E257" s="1009"/>
      <c r="F257" s="690"/>
      <c r="G257" s="698"/>
      <c r="H257" s="698"/>
      <c r="I257" s="698"/>
      <c r="J257" s="698"/>
      <c r="K257" s="698"/>
    </row>
    <row r="258" spans="2:11" s="689" customFormat="1" ht="15.95" customHeight="1">
      <c r="B258" s="858" t="s">
        <v>111</v>
      </c>
      <c r="C258" s="799"/>
      <c r="D258" s="774"/>
      <c r="E258" s="1009"/>
      <c r="F258" s="690"/>
      <c r="G258" s="698"/>
      <c r="H258" s="698"/>
      <c r="I258" s="698"/>
      <c r="J258" s="698"/>
      <c r="K258" s="698"/>
    </row>
    <row r="259" spans="2:11" s="689" customFormat="1" ht="15.95" customHeight="1">
      <c r="B259" s="858" t="s">
        <v>112</v>
      </c>
      <c r="C259" s="799"/>
      <c r="D259" s="774"/>
      <c r="E259" s="1013"/>
      <c r="F259" s="690"/>
      <c r="G259" s="698"/>
      <c r="H259" s="698"/>
      <c r="I259" s="698"/>
      <c r="J259" s="698"/>
      <c r="K259" s="698"/>
    </row>
    <row r="260" spans="2:11" s="689" customFormat="1">
      <c r="C260" s="862"/>
      <c r="D260" s="763"/>
      <c r="G260" s="698"/>
      <c r="H260" s="698"/>
      <c r="I260" s="698"/>
      <c r="J260" s="698"/>
      <c r="K260" s="698"/>
    </row>
    <row r="261" spans="2:11" ht="32.1" customHeight="1">
      <c r="B261" s="855" t="s">
        <v>38</v>
      </c>
      <c r="C261" s="863"/>
      <c r="D261" s="823"/>
      <c r="E261" s="954" t="s">
        <v>1513</v>
      </c>
      <c r="F261" s="860"/>
    </row>
    <row r="262" spans="2:11" s="689" customFormat="1" ht="15.95" customHeight="1">
      <c r="B262" s="868" t="s">
        <v>927</v>
      </c>
      <c r="C262" s="857"/>
      <c r="D262" s="879"/>
      <c r="F262" s="814" t="s">
        <v>1311</v>
      </c>
      <c r="G262" s="698"/>
      <c r="H262" s="698"/>
      <c r="I262" s="698"/>
      <c r="J262" s="698"/>
      <c r="K262" s="698"/>
    </row>
    <row r="263" spans="2:11" s="689" customFormat="1" ht="15.95" customHeight="1">
      <c r="B263" s="858" t="s">
        <v>108</v>
      </c>
      <c r="C263" s="799"/>
      <c r="D263" s="774"/>
      <c r="E263" s="1008" t="s">
        <v>1514</v>
      </c>
      <c r="F263" s="814"/>
      <c r="G263" s="698"/>
      <c r="H263" s="896"/>
      <c r="I263" s="698"/>
      <c r="J263" s="698"/>
      <c r="K263" s="698"/>
    </row>
    <row r="264" spans="2:11" s="689" customFormat="1" ht="15.95" customHeight="1">
      <c r="B264" s="858" t="s">
        <v>109</v>
      </c>
      <c r="C264" s="799"/>
      <c r="D264" s="774"/>
      <c r="E264" s="1009"/>
      <c r="F264" s="814"/>
      <c r="G264" s="698"/>
      <c r="H264" s="698"/>
      <c r="I264" s="698"/>
      <c r="J264" s="698"/>
      <c r="K264" s="698"/>
    </row>
    <row r="265" spans="2:11" s="689" customFormat="1" ht="15.95" customHeight="1">
      <c r="B265" s="858" t="s">
        <v>110</v>
      </c>
      <c r="C265" s="799"/>
      <c r="D265" s="774"/>
      <c r="E265" s="1009"/>
      <c r="F265" s="814"/>
      <c r="G265" s="698"/>
      <c r="H265" s="698"/>
      <c r="I265" s="698"/>
      <c r="J265" s="698"/>
      <c r="K265" s="698"/>
    </row>
    <row r="266" spans="2:11" s="689" customFormat="1" ht="15.95" customHeight="1">
      <c r="B266" s="858" t="s">
        <v>111</v>
      </c>
      <c r="C266" s="799"/>
      <c r="D266" s="774"/>
      <c r="E266" s="1009"/>
      <c r="F266" s="814"/>
      <c r="G266" s="698"/>
      <c r="H266" s="698"/>
      <c r="I266" s="698"/>
      <c r="J266" s="698"/>
      <c r="K266" s="698"/>
    </row>
    <row r="267" spans="2:11" s="689" customFormat="1" ht="15.95" customHeight="1">
      <c r="B267" s="858" t="s">
        <v>112</v>
      </c>
      <c r="C267" s="799"/>
      <c r="D267" s="774"/>
      <c r="E267" s="1013"/>
      <c r="F267" s="814"/>
      <c r="G267" s="698"/>
      <c r="H267" s="698"/>
      <c r="I267" s="698"/>
      <c r="J267" s="698"/>
      <c r="K267" s="698"/>
    </row>
    <row r="268" spans="2:11" s="689" customFormat="1">
      <c r="C268" s="862"/>
      <c r="D268" s="763"/>
      <c r="G268" s="698"/>
      <c r="H268" s="698"/>
      <c r="I268" s="698"/>
      <c r="J268" s="698"/>
      <c r="K268" s="698"/>
    </row>
    <row r="269" spans="2:11" ht="32.1" customHeight="1">
      <c r="B269" s="855" t="s">
        <v>40</v>
      </c>
      <c r="C269" s="863"/>
      <c r="D269" s="823"/>
      <c r="E269" s="826" t="s">
        <v>1593</v>
      </c>
      <c r="F269" s="860"/>
    </row>
    <row r="270" spans="2:11" s="689" customFormat="1" ht="32.1" customHeight="1">
      <c r="B270" s="868" t="s">
        <v>1408</v>
      </c>
      <c r="C270" s="799"/>
      <c r="D270" s="942"/>
      <c r="E270" s="775" t="s">
        <v>1515</v>
      </c>
      <c r="F270" s="690" t="s">
        <v>957</v>
      </c>
      <c r="G270" s="698"/>
      <c r="H270" s="698"/>
      <c r="I270" s="698"/>
      <c r="J270" s="698"/>
      <c r="K270" s="698"/>
    </row>
    <row r="271" spans="2:11" s="689" customFormat="1" ht="15.95" customHeight="1">
      <c r="B271" s="868" t="s">
        <v>1532</v>
      </c>
      <c r="C271" s="857"/>
      <c r="D271" s="879"/>
      <c r="F271" s="690" t="s">
        <v>959</v>
      </c>
      <c r="G271" s="698"/>
      <c r="H271" s="698"/>
      <c r="I271" s="698"/>
      <c r="J271" s="698"/>
      <c r="K271" s="698"/>
    </row>
    <row r="272" spans="2:11" s="689" customFormat="1" ht="15.95" customHeight="1">
      <c r="B272" s="858" t="s">
        <v>108</v>
      </c>
      <c r="C272" s="799"/>
      <c r="D272" s="934"/>
      <c r="E272" s="1008" t="s">
        <v>1634</v>
      </c>
      <c r="F272" s="690"/>
      <c r="G272" s="698"/>
      <c r="H272" s="698"/>
      <c r="I272" s="698"/>
      <c r="J272" s="698"/>
      <c r="K272" s="698"/>
    </row>
    <row r="273" spans="2:11" s="689" customFormat="1" ht="15.95" customHeight="1">
      <c r="B273" s="858" t="s">
        <v>109</v>
      </c>
      <c r="C273" s="799"/>
      <c r="D273" s="934"/>
      <c r="E273" s="1009"/>
      <c r="F273" s="690"/>
      <c r="G273" s="698"/>
      <c r="H273" s="698"/>
      <c r="I273" s="698"/>
      <c r="J273" s="698"/>
      <c r="K273" s="698"/>
    </row>
    <row r="274" spans="2:11" s="689" customFormat="1" ht="15.95" customHeight="1">
      <c r="B274" s="858" t="s">
        <v>110</v>
      </c>
      <c r="C274" s="799"/>
      <c r="D274" s="934"/>
      <c r="E274" s="1009"/>
      <c r="F274" s="690"/>
      <c r="G274" s="698"/>
      <c r="H274" s="698"/>
      <c r="I274" s="698"/>
      <c r="J274" s="698"/>
      <c r="K274" s="698"/>
    </row>
    <row r="275" spans="2:11" s="689" customFormat="1" ht="15.95" customHeight="1">
      <c r="B275" s="858" t="s">
        <v>111</v>
      </c>
      <c r="C275" s="799"/>
      <c r="D275" s="934"/>
      <c r="E275" s="1009"/>
      <c r="F275" s="690"/>
      <c r="G275" s="698"/>
      <c r="H275" s="698"/>
      <c r="I275" s="698"/>
      <c r="J275" s="698"/>
      <c r="K275" s="698"/>
    </row>
    <row r="276" spans="2:11" s="689" customFormat="1" ht="15.95" customHeight="1">
      <c r="B276" s="858" t="s">
        <v>112</v>
      </c>
      <c r="C276" s="799"/>
      <c r="D276" s="934"/>
      <c r="E276" s="1013"/>
      <c r="F276" s="690"/>
      <c r="G276" s="698"/>
      <c r="H276" s="698"/>
      <c r="I276" s="698"/>
      <c r="J276" s="698"/>
      <c r="K276" s="698"/>
    </row>
    <row r="277" spans="2:11" s="689" customFormat="1">
      <c r="C277" s="862"/>
      <c r="D277" s="763"/>
      <c r="G277" s="698"/>
      <c r="H277" s="698"/>
      <c r="I277" s="698"/>
      <c r="J277" s="698"/>
      <c r="K277" s="698"/>
    </row>
    <row r="278" spans="2:11">
      <c r="B278" s="855" t="s">
        <v>688</v>
      </c>
      <c r="C278" s="863"/>
      <c r="D278" s="823"/>
      <c r="E278" s="826" t="s">
        <v>1516</v>
      </c>
      <c r="F278" s="860"/>
    </row>
    <row r="279" spans="2:11" s="689" customFormat="1" ht="63.95" customHeight="1">
      <c r="B279" s="868" t="s">
        <v>1409</v>
      </c>
      <c r="C279" s="799"/>
      <c r="D279" s="942"/>
      <c r="E279" s="775" t="s">
        <v>1517</v>
      </c>
      <c r="F279" s="690" t="s">
        <v>957</v>
      </c>
      <c r="G279" s="698"/>
      <c r="H279" s="698"/>
      <c r="I279" s="698"/>
      <c r="J279" s="698"/>
      <c r="K279" s="698"/>
    </row>
    <row r="280" spans="2:11" s="689" customFormat="1" ht="15.95" customHeight="1">
      <c r="B280" s="868" t="s">
        <v>1533</v>
      </c>
      <c r="C280" s="857"/>
      <c r="D280" s="879"/>
      <c r="F280" s="791"/>
      <c r="G280" s="698"/>
      <c r="H280" s="698"/>
      <c r="I280" s="698"/>
      <c r="J280" s="698"/>
      <c r="K280" s="698"/>
    </row>
    <row r="281" spans="2:11" s="689" customFormat="1" ht="15.95" customHeight="1">
      <c r="B281" s="858" t="s">
        <v>108</v>
      </c>
      <c r="C281" s="799"/>
      <c r="D281" s="774"/>
      <c r="E281" s="1008" t="s">
        <v>1634</v>
      </c>
      <c r="F281" s="791"/>
      <c r="G281" s="698"/>
      <c r="H281" s="698"/>
      <c r="I281" s="698"/>
      <c r="J281" s="698"/>
      <c r="K281" s="698"/>
    </row>
    <row r="282" spans="2:11" s="689" customFormat="1" ht="15.95" customHeight="1">
      <c r="B282" s="858" t="s">
        <v>109</v>
      </c>
      <c r="C282" s="799"/>
      <c r="D282" s="774"/>
      <c r="E282" s="1009"/>
      <c r="F282" s="791"/>
      <c r="G282" s="698"/>
      <c r="H282" s="698"/>
      <c r="I282" s="698"/>
      <c r="J282" s="698"/>
      <c r="K282" s="698"/>
    </row>
    <row r="283" spans="2:11" s="689" customFormat="1" ht="15.95" customHeight="1">
      <c r="B283" s="858" t="s">
        <v>110</v>
      </c>
      <c r="C283" s="799"/>
      <c r="D283" s="774"/>
      <c r="E283" s="1009"/>
      <c r="F283" s="791"/>
      <c r="G283" s="698"/>
      <c r="H283" s="698"/>
      <c r="I283" s="698"/>
      <c r="J283" s="698"/>
      <c r="K283" s="698"/>
    </row>
    <row r="284" spans="2:11" s="689" customFormat="1" ht="15.95" customHeight="1">
      <c r="B284" s="858" t="s">
        <v>111</v>
      </c>
      <c r="C284" s="799"/>
      <c r="D284" s="774"/>
      <c r="E284" s="1009"/>
      <c r="F284" s="791"/>
      <c r="G284" s="698"/>
      <c r="H284" s="698"/>
      <c r="I284" s="698"/>
      <c r="J284" s="698"/>
      <c r="K284" s="698"/>
    </row>
    <row r="285" spans="2:11" s="689" customFormat="1" ht="15.95" customHeight="1">
      <c r="B285" s="858" t="s">
        <v>112</v>
      </c>
      <c r="C285" s="799"/>
      <c r="D285" s="774"/>
      <c r="E285" s="1013"/>
      <c r="F285" s="791"/>
      <c r="G285" s="698"/>
      <c r="H285" s="698"/>
      <c r="I285" s="698"/>
      <c r="J285" s="698"/>
      <c r="K285" s="698"/>
    </row>
    <row r="286" spans="2:11" s="689" customFormat="1">
      <c r="C286" s="862"/>
      <c r="D286" s="763"/>
      <c r="G286" s="698"/>
      <c r="H286" s="698"/>
      <c r="I286" s="698"/>
      <c r="J286" s="698"/>
      <c r="K286" s="698"/>
    </row>
    <row r="287" spans="2:11" ht="32.1" customHeight="1">
      <c r="B287" s="855" t="s">
        <v>44</v>
      </c>
      <c r="C287" s="863"/>
      <c r="D287" s="823"/>
      <c r="E287" s="826" t="s">
        <v>1518</v>
      </c>
      <c r="F287" s="860"/>
    </row>
    <row r="288" spans="2:11" s="689" customFormat="1" ht="32.1" customHeight="1">
      <c r="B288" s="868" t="s">
        <v>1410</v>
      </c>
      <c r="C288" s="799"/>
      <c r="D288" s="952"/>
      <c r="E288" s="775" t="s">
        <v>1519</v>
      </c>
      <c r="F288" s="690" t="s">
        <v>957</v>
      </c>
      <c r="G288" s="698"/>
      <c r="H288" s="698"/>
      <c r="I288" s="698"/>
      <c r="J288" s="698"/>
      <c r="K288" s="698"/>
    </row>
    <row r="289" spans="2:11" s="689" customFormat="1" ht="15.95" customHeight="1">
      <c r="B289" s="868" t="s">
        <v>1534</v>
      </c>
      <c r="C289" s="857"/>
      <c r="D289" s="879"/>
      <c r="F289" s="690" t="s">
        <v>959</v>
      </c>
      <c r="G289" s="698"/>
      <c r="H289" s="698"/>
      <c r="I289" s="698"/>
      <c r="J289" s="698"/>
      <c r="K289" s="698"/>
    </row>
    <row r="290" spans="2:11" s="689" customFormat="1" ht="15.95" customHeight="1">
      <c r="B290" s="858" t="s">
        <v>108</v>
      </c>
      <c r="C290" s="799"/>
      <c r="D290" s="934"/>
      <c r="E290" s="1008" t="s">
        <v>1634</v>
      </c>
      <c r="F290" s="690"/>
      <c r="G290" s="698"/>
      <c r="H290" s="698"/>
      <c r="I290" s="698"/>
      <c r="J290" s="698"/>
      <c r="K290" s="698"/>
    </row>
    <row r="291" spans="2:11" s="689" customFormat="1" ht="15.95" customHeight="1">
      <c r="B291" s="858" t="s">
        <v>109</v>
      </c>
      <c r="C291" s="799"/>
      <c r="D291" s="934"/>
      <c r="E291" s="1009"/>
      <c r="F291" s="690"/>
      <c r="G291" s="698"/>
      <c r="H291" s="698"/>
      <c r="I291" s="698"/>
      <c r="J291" s="698"/>
      <c r="K291" s="698"/>
    </row>
    <row r="292" spans="2:11" s="689" customFormat="1" ht="15.95" customHeight="1">
      <c r="B292" s="858" t="s">
        <v>110</v>
      </c>
      <c r="C292" s="799"/>
      <c r="D292" s="934"/>
      <c r="E292" s="1009"/>
      <c r="F292" s="690"/>
      <c r="G292" s="698"/>
      <c r="H292" s="698"/>
      <c r="I292" s="698"/>
      <c r="J292" s="698"/>
      <c r="K292" s="698"/>
    </row>
    <row r="293" spans="2:11" s="689" customFormat="1" ht="15.95" customHeight="1">
      <c r="B293" s="858" t="s">
        <v>111</v>
      </c>
      <c r="C293" s="799"/>
      <c r="D293" s="934"/>
      <c r="E293" s="1009"/>
      <c r="F293" s="690"/>
      <c r="G293" s="698"/>
      <c r="H293" s="698"/>
      <c r="I293" s="698"/>
      <c r="J293" s="698"/>
      <c r="K293" s="698"/>
    </row>
    <row r="294" spans="2:11" s="689" customFormat="1" ht="15.95" customHeight="1">
      <c r="B294" s="858" t="s">
        <v>112</v>
      </c>
      <c r="C294" s="799"/>
      <c r="D294" s="934"/>
      <c r="E294" s="1013"/>
      <c r="F294" s="690"/>
      <c r="G294" s="698"/>
      <c r="H294" s="698"/>
      <c r="I294" s="698"/>
      <c r="J294" s="698"/>
      <c r="K294" s="698"/>
    </row>
    <row r="295" spans="2:11" s="689" customFormat="1">
      <c r="C295" s="763"/>
      <c r="D295" s="763"/>
      <c r="G295" s="698"/>
      <c r="H295" s="698"/>
      <c r="I295" s="698"/>
      <c r="J295" s="698"/>
      <c r="K295" s="698"/>
    </row>
    <row r="296" spans="2:11" s="689" customFormat="1">
      <c r="C296" s="763"/>
      <c r="D296" s="763"/>
      <c r="G296" s="698"/>
      <c r="H296" s="698"/>
      <c r="I296" s="698"/>
      <c r="J296" s="698"/>
      <c r="K296" s="698"/>
    </row>
  </sheetData>
  <sheetProtection algorithmName="SHA-512" hashValue="cKD5B63eKtYxk+lkLdo9Ekww99ZzLXnOu22JO2iJbu13jgK1SH/5BOV5irF0G2/nyR32hXHjYeo35vJNNHBYbA==" saltValue="6OzCtcmph+sGyHjL9S/lmA==" spinCount="100000" sheet="1" formatColumns="0" formatRows="0"/>
  <mergeCells count="25">
    <mergeCell ref="E272:E276"/>
    <mergeCell ref="E238:E242"/>
    <mergeCell ref="E246:E250"/>
    <mergeCell ref="E255:E259"/>
    <mergeCell ref="E290:E294"/>
    <mergeCell ref="E281:E285"/>
    <mergeCell ref="E263:E267"/>
    <mergeCell ref="E131:E135"/>
    <mergeCell ref="E229:E233"/>
    <mergeCell ref="E104:E108"/>
    <mergeCell ref="E113:E117"/>
    <mergeCell ref="E190:E194"/>
    <mergeCell ref="E123:E127"/>
    <mergeCell ref="E210:E214"/>
    <mergeCell ref="E203:E207"/>
    <mergeCell ref="B2:E2"/>
    <mergeCell ref="E8:E12"/>
    <mergeCell ref="E95:E99"/>
    <mergeCell ref="E88:E92"/>
    <mergeCell ref="E51:E55"/>
    <mergeCell ref="E58:E62"/>
    <mergeCell ref="E65:E69"/>
    <mergeCell ref="E72:E76"/>
    <mergeCell ref="E44:E48"/>
    <mergeCell ref="E14:E35"/>
  </mergeCells>
  <conditionalFormatting sqref="B139:B143">
    <cfRule type="expression" dxfId="89" priority="1">
      <formula>$C$120&lt;&gt;"Classroom-based training"</formula>
    </cfRule>
  </conditionalFormatting>
  <conditionalFormatting sqref="C139:C143">
    <cfRule type="expression" dxfId="88" priority="6" stopIfTrue="1">
      <formula>$C$120&lt;&gt;"Classroom-based training"</formula>
    </cfRule>
  </conditionalFormatting>
  <dataValidations count="3">
    <dataValidation allowBlank="1" sqref="C237:C242 C254:C259 C271:C276 C289:C294 C280:C285" xr:uid="{EF5C5177-9356-4B52-AD98-4528EC587FB3}"/>
    <dataValidation type="whole" allowBlank="1" showInputMessage="1" showErrorMessage="1" error="Entry must be a whole number. " sqref="C87:C99 C15:C20 C22:C76" xr:uid="{F36CA2C1-FA0F-412E-ACA6-3F8879496969}">
      <formula1>0</formula1>
      <formula2>10000000</formula2>
    </dataValidation>
    <dataValidation type="list" allowBlank="1" showInputMessage="1" showErrorMessage="1" sqref="C121" xr:uid="{E4DC3314-3E8D-4B0E-8C26-177C72A786E9}">
      <formula1>#REF!</formula1>
    </dataValidation>
  </dataValidations>
  <hyperlinks>
    <hyperlink ref="F8" r:id="rId1" xr:uid="{4604AAD7-526F-4DD1-B5D9-8813CA41E8AC}"/>
    <hyperlink ref="F43" r:id="rId2" xr:uid="{53BBBCD9-F9F4-400C-8E3F-A2D175BE836F}"/>
    <hyperlink ref="F79" r:id="rId3" xr:uid="{69EFA62D-AB32-4489-B281-5D43367EDF4F}"/>
    <hyperlink ref="F87" r:id="rId4" xr:uid="{0A4071C5-D728-4BA9-AC28-E333B0C47542}"/>
    <hyperlink ref="F112" r:id="rId5" xr:uid="{6F457075-CB62-414A-9A84-410BF66B72F8}"/>
    <hyperlink ref="F120" r:id="rId6" xr:uid="{148E91FF-154C-4938-88C2-2A0A9A580903}"/>
    <hyperlink ref="F188" r:id="rId7" xr:uid="{A4CF83A6-4AE5-4864-997D-8E620B5F65A1}"/>
    <hyperlink ref="F227" r:id="rId8" xr:uid="{D30D91DA-59A5-4BF6-A902-989EF204BE14}"/>
    <hyperlink ref="F228" r:id="rId9" xr:uid="{E2FDC2A7-BCE0-4F9D-9E59-D1F5F5EE4B1D}"/>
    <hyperlink ref="F236" r:id="rId10" xr:uid="{7C8ED86D-FB7C-4097-B95D-2373E7962474}"/>
    <hyperlink ref="F253" r:id="rId11" xr:uid="{5145C6DD-FCA9-4F63-9D4E-DD167AFF0313}"/>
    <hyperlink ref="F270" r:id="rId12" xr:uid="{D77C0C8B-0AE6-4D62-81AF-C52D67876F21}"/>
    <hyperlink ref="F271" r:id="rId13" xr:uid="{7CEC006C-07A0-480B-A8B0-85FAE452F91E}"/>
    <hyperlink ref="F279" r:id="rId14" xr:uid="{2415AAE7-E470-44E3-9606-A4D70AD5400D}"/>
    <hyperlink ref="F288" r:id="rId15" xr:uid="{59F859DF-8726-46AC-A45D-BAA944D18AA3}"/>
    <hyperlink ref="F289" r:id="rId16" xr:uid="{204D80D5-83D9-4683-AD79-0171D0A9C5B2}"/>
    <hyperlink ref="F187" r:id="rId17" xr:uid="{37B8F098-DD33-4833-95E7-EADD141BD521}"/>
    <hyperlink ref="B1" location="Menu!D11" tooltip="Menu" display="&lt;&lt; Menu" xr:uid="{CA385F1C-1505-0C48-B76D-F6E7A1B7B3B9}"/>
  </hyperlinks>
  <pageMargins left="0.7" right="0.7" top="0.75" bottom="0.75" header="0.3" footer="0.3"/>
  <pageSetup orientation="portrait" r:id="rId18"/>
  <drawing r:id="rId19"/>
  <extLst>
    <ext xmlns:x14="http://schemas.microsoft.com/office/spreadsheetml/2009/9/main" uri="{CCE6A557-97BC-4b89-ADB6-D9C93CAAB3DF}">
      <x14:dataValidations xmlns:xm="http://schemas.microsoft.com/office/excel/2006/main" count="1">
        <x14:dataValidation type="list" allowBlank="1" showInputMessage="1" showErrorMessage="1" xr:uid="{374D58AE-6A02-4499-976E-9D229BA64E2C}">
          <x14:formula1>
            <xm:f>'Value lists'!$B$1:$B$3</xm:f>
          </x14:formula1>
          <xm:sqref>C120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26D4B-9735-4654-955C-690B35FA1A30}">
  <sheetPr>
    <tabColor theme="9" tint="-0.249977111117893"/>
  </sheetPr>
  <dimension ref="A1:H404"/>
  <sheetViews>
    <sheetView showGridLines="0" zoomScale="90" zoomScaleNormal="90" workbookViewId="0">
      <pane ySplit="4" topLeftCell="A62" activePane="bottomLeft" state="frozen"/>
      <selection activeCell="C284" sqref="C284"/>
      <selection pane="bottomLeft" activeCell="E5" sqref="E5"/>
    </sheetView>
  </sheetViews>
  <sheetFormatPr defaultColWidth="10.85546875" defaultRowHeight="15" outlineLevelCol="1"/>
  <cols>
    <col min="1" max="1" width="2" style="698" customWidth="1"/>
    <col min="2" max="2" width="68.42578125" style="698" customWidth="1"/>
    <col min="3" max="3" width="20" style="780" customWidth="1"/>
    <col min="4" max="4" width="20" style="698" customWidth="1"/>
    <col min="5" max="5" width="80" style="786" customWidth="1"/>
    <col min="6" max="6" width="42.5703125" style="698" hidden="1" customWidth="1" outlineLevel="1"/>
    <col min="7" max="7" width="10.85546875" style="698" collapsed="1"/>
    <col min="8" max="8" width="17.5703125" style="698" customWidth="1"/>
    <col min="9" max="9" width="11.140625" style="698" bestFit="1" customWidth="1"/>
    <col min="10" max="16384" width="10.85546875" style="698"/>
  </cols>
  <sheetData>
    <row r="1" spans="1:8">
      <c r="A1" s="689"/>
      <c r="B1" s="709" t="s">
        <v>1621</v>
      </c>
      <c r="C1" s="763"/>
      <c r="D1" s="689"/>
      <c r="E1" s="747"/>
      <c r="F1" s="689"/>
    </row>
    <row r="2" spans="1:8" ht="32.1" customHeight="1">
      <c r="A2" s="689"/>
      <c r="B2" s="1010" t="s">
        <v>992</v>
      </c>
      <c r="C2" s="1011"/>
      <c r="D2" s="1011"/>
      <c r="E2" s="1012"/>
      <c r="F2" s="764"/>
    </row>
    <row r="4" spans="1:8" ht="32.1" customHeight="1">
      <c r="C4" s="802" t="s">
        <v>993</v>
      </c>
      <c r="D4" s="768" t="s">
        <v>1642</v>
      </c>
      <c r="E4" s="803" t="s">
        <v>995</v>
      </c>
      <c r="F4" s="770" t="s">
        <v>958</v>
      </c>
    </row>
    <row r="5" spans="1:8" s="689" customFormat="1" ht="150">
      <c r="B5" s="771" t="s">
        <v>1636</v>
      </c>
      <c r="C5" s="804"/>
      <c r="D5" s="805"/>
      <c r="E5" s="809" t="s">
        <v>1750</v>
      </c>
      <c r="F5" s="805"/>
      <c r="H5" s="698"/>
    </row>
    <row r="6" spans="1:8" s="689" customFormat="1">
      <c r="C6" s="763"/>
      <c r="E6" s="747"/>
    </row>
    <row r="7" spans="1:8" ht="409.5">
      <c r="B7" s="1018" t="s">
        <v>1689</v>
      </c>
      <c r="C7" s="984"/>
      <c r="D7" s="984"/>
      <c r="E7" s="826" t="s">
        <v>1766</v>
      </c>
    </row>
    <row r="8" spans="1:8" ht="60">
      <c r="B8" s="1018"/>
      <c r="C8" s="984"/>
      <c r="D8" s="984"/>
      <c r="E8" s="826" t="s">
        <v>1730</v>
      </c>
    </row>
    <row r="9" spans="1:8" ht="30">
      <c r="B9" s="985" t="s">
        <v>1737</v>
      </c>
      <c r="C9" s="977"/>
      <c r="D9" s="979"/>
      <c r="E9" s="1002"/>
    </row>
    <row r="10" spans="1:8">
      <c r="B10" s="762"/>
      <c r="C10" s="762"/>
      <c r="D10" s="762"/>
      <c r="E10" s="762"/>
    </row>
    <row r="11" spans="1:8" ht="30">
      <c r="B11" s="993" t="str">
        <f>_xlfn.CONCAT("Enter any one-time costs for ","'",$B7,"'"," attributable to this implementation.")</f>
        <v>Enter any one-time costs for 'Assessment and planning' attributable to this implementation.</v>
      </c>
      <c r="C11" s="1082"/>
      <c r="D11" s="1082"/>
      <c r="E11" s="992" t="str">
        <f>IF($C9="No","Consider if there are any one-time activities during the 'Development' and/or 'Deployment' phases of implementation.","")</f>
        <v/>
      </c>
    </row>
    <row r="12" spans="1:8">
      <c r="B12" s="995" t="s">
        <v>1638</v>
      </c>
      <c r="C12" s="1083"/>
      <c r="D12" s="997"/>
      <c r="E12" s="998"/>
    </row>
    <row r="13" spans="1:8" ht="30">
      <c r="B13" s="985" t="str">
        <f>_xlfn.CONCAT("Enter the daily rate for a single staff worker working on ","'",B7,".'")</f>
        <v>Enter the daily rate for a single staff worker working on 'Assessment and planning.'</v>
      </c>
      <c r="C13" s="978"/>
      <c r="D13" s="979"/>
      <c r="E13" s="1017" t="str">
        <f>IF($C9="No",_xlfn.CONCAT("If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14" spans="1:8" ht="30">
      <c r="B14" s="985" t="str">
        <f>_xlfn.CONCAT("Enter the level of effort (number of days) needed to complete ","'",B7,".'")</f>
        <v>Enter the level of effort (number of days) needed to complete 'Assessment and planning.'</v>
      </c>
      <c r="C14" s="978"/>
      <c r="D14" s="979"/>
      <c r="E14" s="1017"/>
    </row>
    <row r="15" spans="1:8">
      <c r="B15" s="762"/>
      <c r="C15" s="762"/>
      <c r="D15" s="762"/>
      <c r="E15" s="762"/>
    </row>
    <row r="16" spans="1:8">
      <c r="B16" s="995" t="s">
        <v>1639</v>
      </c>
      <c r="C16" s="1083"/>
      <c r="D16" s="997"/>
      <c r="E16" s="998"/>
    </row>
    <row r="17" spans="2:5" ht="105">
      <c r="B17" s="985" t="s">
        <v>1765</v>
      </c>
      <c r="C17" s="978"/>
      <c r="D17" s="979"/>
      <c r="E17" s="986" t="str">
        <f>IF($C9="No",_xlfn.CONCAT("Contracted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18" spans="2:5">
      <c r="B18" s="762"/>
      <c r="C18" s="762"/>
      <c r="D18" s="762"/>
      <c r="E18" s="762"/>
    </row>
    <row r="19" spans="2:5">
      <c r="B19" s="995" t="s">
        <v>1682</v>
      </c>
      <c r="C19" s="1083"/>
      <c r="D19" s="997"/>
      <c r="E19" s="998"/>
    </row>
    <row r="20" spans="2:5" ht="30">
      <c r="B20" s="985" t="s">
        <v>1687</v>
      </c>
      <c r="C20" s="978"/>
      <c r="D20" s="979"/>
      <c r="E20" s="986"/>
    </row>
    <row r="21" spans="2:5">
      <c r="B21" s="762"/>
      <c r="C21" s="762"/>
      <c r="D21" s="762"/>
      <c r="E21" s="762"/>
    </row>
    <row r="22" spans="2:5" ht="30">
      <c r="B22" s="993" t="str">
        <f>_xlfn.CONCAT("Enter the annual recurring costs for ","'",$B7,"'"," attributable to this implementation.")</f>
        <v>Enter the annual recurring costs for 'Assessment and planning' attributable to this implementation.</v>
      </c>
      <c r="C22" s="1082"/>
      <c r="D22" s="1082" t="str">
        <f>IF($C9="No","","")</f>
        <v/>
      </c>
      <c r="E22" s="992" t="str">
        <f>IF($C9="No",_xlfn.CONCAT("Consider which activities are intended to be repeated multiple times throughout all phases of implementation."),"")</f>
        <v/>
      </c>
    </row>
    <row r="23" spans="2:5">
      <c r="B23" s="995" t="s">
        <v>1638</v>
      </c>
      <c r="C23" s="1083"/>
      <c r="D23" s="997"/>
      <c r="E23" s="998"/>
    </row>
    <row r="24" spans="2:5" ht="30">
      <c r="B24" s="985" t="str">
        <f>_xlfn.CONCAT("Enter the daily rate for a single staff worker working on ","'",B7,".'")</f>
        <v>Enter the daily rate for a single staff worker working on 'Assessment and planning.'</v>
      </c>
      <c r="C24" s="978"/>
      <c r="D24" s="979"/>
      <c r="E24" s="1017" t="str">
        <f>IF($C9="No",_xlfn.CONCAT("If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25" spans="2:5" ht="30">
      <c r="B25" s="985" t="str">
        <f>_xlfn.CONCAT("Enter the level of effort (number of days) needed to complete ","'",B7,"' on an annual basis.")</f>
        <v>Enter the level of effort (number of days) needed to complete 'Assessment and planning' on an annual basis.</v>
      </c>
      <c r="C25" s="978"/>
      <c r="D25" s="979"/>
      <c r="E25" s="1017"/>
    </row>
    <row r="26" spans="2:5">
      <c r="B26" s="762"/>
      <c r="C26" s="762"/>
      <c r="D26" s="762"/>
      <c r="E26" s="762"/>
    </row>
    <row r="27" spans="2:5">
      <c r="B27" s="995" t="s">
        <v>1639</v>
      </c>
      <c r="C27" s="1083"/>
      <c r="D27" s="997"/>
      <c r="E27" s="998"/>
    </row>
    <row r="28" spans="2:5" ht="105">
      <c r="B28" s="985" t="s">
        <v>1685</v>
      </c>
      <c r="C28" s="978"/>
      <c r="D28" s="979"/>
      <c r="E28" s="981" t="str">
        <f>IF($C9="No",_xlfn.CONCAT("Contracted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29" spans="2:5">
      <c r="B29" s="762"/>
      <c r="C29" s="762"/>
      <c r="D29" s="762"/>
      <c r="E29" s="762"/>
    </row>
    <row r="30" spans="2:5">
      <c r="B30" s="995" t="s">
        <v>1682</v>
      </c>
      <c r="C30" s="1083"/>
      <c r="D30" s="997"/>
      <c r="E30" s="998"/>
    </row>
    <row r="31" spans="2:5" ht="30">
      <c r="B31" s="985" t="s">
        <v>1686</v>
      </c>
      <c r="C31" s="978"/>
      <c r="D31" s="979"/>
      <c r="E31" s="986"/>
    </row>
    <row r="33" spans="2:5" ht="226.5" customHeight="1">
      <c r="B33" s="983" t="s">
        <v>1690</v>
      </c>
      <c r="C33" s="984"/>
      <c r="D33" s="984"/>
      <c r="E33" s="826" t="s">
        <v>1703</v>
      </c>
    </row>
    <row r="34" spans="2:5" ht="30">
      <c r="B34" s="985" t="s">
        <v>1738</v>
      </c>
      <c r="C34" s="977"/>
      <c r="D34" s="979"/>
      <c r="E34" s="1003"/>
    </row>
    <row r="35" spans="2:5">
      <c r="B35" s="762"/>
      <c r="C35" s="762"/>
      <c r="D35" s="762"/>
      <c r="E35" s="762"/>
    </row>
    <row r="36" spans="2:5" ht="30">
      <c r="B36" s="993" t="str">
        <f>_xlfn.CONCAT("Enter any one-time costs for ","'",$B33,"'"," attributable to this implementation.")</f>
        <v>Enter any one-time costs for 'Policies and documentation' attributable to this implementation.</v>
      </c>
      <c r="C36" s="1082"/>
      <c r="D36" s="1082"/>
      <c r="E36" s="992" t="str">
        <f>IF($C34="No","Consider if there are any one-time activities during the 'Development' and/or 'Deployment' phases of implementation.","")</f>
        <v/>
      </c>
    </row>
    <row r="37" spans="2:5">
      <c r="B37" s="995" t="s">
        <v>1638</v>
      </c>
      <c r="C37" s="1083"/>
      <c r="D37" s="997"/>
      <c r="E37" s="998"/>
    </row>
    <row r="38" spans="2:5" ht="30">
      <c r="B38" s="985" t="str">
        <f>_xlfn.CONCAT("Enter the daily rate for a single staff worker working on ","'",B33,".'")</f>
        <v>Enter the daily rate for a single staff worker working on 'Policies and documentation.'</v>
      </c>
      <c r="C38" s="978"/>
      <c r="D38" s="979"/>
      <c r="E38" s="1017" t="str">
        <f>IF($C34="No",_xlfn.CONCAT("If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39" spans="2:5" ht="30">
      <c r="B39" s="985" t="str">
        <f>_xlfn.CONCAT("Enter the level of effort (number of days) needed to complete ","'",B33,".'")</f>
        <v>Enter the level of effort (number of days) needed to complete 'Policies and documentation.'</v>
      </c>
      <c r="C39" s="978"/>
      <c r="D39" s="979"/>
      <c r="E39" s="1017"/>
    </row>
    <row r="40" spans="2:5">
      <c r="B40" s="762"/>
      <c r="C40" s="762"/>
      <c r="D40" s="762"/>
      <c r="E40" s="762"/>
    </row>
    <row r="41" spans="2:5">
      <c r="B41" s="995" t="s">
        <v>1639</v>
      </c>
      <c r="C41" s="1083"/>
      <c r="D41" s="997"/>
      <c r="E41" s="998"/>
    </row>
    <row r="42" spans="2:5">
      <c r="B42" s="985" t="s">
        <v>1765</v>
      </c>
      <c r="C42" s="978"/>
      <c r="D42" s="979"/>
      <c r="E42" s="986" t="str">
        <f>IF($C34="No",_xlfn.CONCAT("Contracted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43" spans="2:5">
      <c r="B43" s="762"/>
      <c r="C43" s="762"/>
      <c r="D43" s="762"/>
      <c r="E43" s="762"/>
    </row>
    <row r="44" spans="2:5">
      <c r="B44" s="995" t="s">
        <v>1682</v>
      </c>
      <c r="C44" s="1083"/>
      <c r="D44" s="997"/>
      <c r="E44" s="998"/>
    </row>
    <row r="45" spans="2:5" ht="30">
      <c r="B45" s="985" t="s">
        <v>1687</v>
      </c>
      <c r="C45" s="978"/>
      <c r="D45" s="979"/>
      <c r="E45" s="986"/>
    </row>
    <row r="46" spans="2:5">
      <c r="B46" s="762"/>
      <c r="C46" s="762"/>
      <c r="D46" s="762"/>
      <c r="E46" s="762"/>
    </row>
    <row r="47" spans="2:5" ht="30">
      <c r="B47" s="993" t="str">
        <f>_xlfn.CONCAT("Enter the annual recurring costs for ","'",$B33,"'"," attributable to this implementation.")</f>
        <v>Enter the annual recurring costs for 'Policies and documentation' attributable to this implementation.</v>
      </c>
      <c r="C47" s="1082"/>
      <c r="D47" s="1082" t="str">
        <f>IF($C34="No","","")</f>
        <v/>
      </c>
      <c r="E47" s="992" t="str">
        <f>IF($C34="No",_xlfn.CONCAT("Consider which activities are intended to be repeated multiple times throughout all phases of implementation."),"")</f>
        <v/>
      </c>
    </row>
    <row r="48" spans="2:5">
      <c r="B48" s="995" t="s">
        <v>1638</v>
      </c>
      <c r="C48" s="1083"/>
      <c r="D48" s="997"/>
      <c r="E48" s="998"/>
    </row>
    <row r="49" spans="2:5" ht="30">
      <c r="B49" s="985" t="str">
        <f>_xlfn.CONCAT("Enter the daily rate for a single staff worker working on ","'",B33,".'")</f>
        <v>Enter the daily rate for a single staff worker working on 'Policies and documentation.'</v>
      </c>
      <c r="C49" s="978"/>
      <c r="D49" s="979"/>
      <c r="E49" s="1017" t="str">
        <f>IF($C34="No",_xlfn.CONCAT("If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50" spans="2:5" ht="30">
      <c r="B50" s="985" t="str">
        <f>_xlfn.CONCAT("Enter the level of effort (number of days) needed to complete ","'",B33,"' on an annual basis.")</f>
        <v>Enter the level of effort (number of days) needed to complete 'Policies and documentation' on an annual basis.</v>
      </c>
      <c r="C50" s="978"/>
      <c r="D50" s="979"/>
      <c r="E50" s="1017"/>
    </row>
    <row r="51" spans="2:5">
      <c r="B51" s="762"/>
      <c r="C51" s="762"/>
      <c r="D51" s="762"/>
      <c r="E51" s="762"/>
    </row>
    <row r="52" spans="2:5">
      <c r="B52" s="995" t="s">
        <v>1639</v>
      </c>
      <c r="C52" s="1083"/>
      <c r="D52" s="997"/>
      <c r="E52" s="998"/>
    </row>
    <row r="53" spans="2:5">
      <c r="B53" s="985" t="s">
        <v>1685</v>
      </c>
      <c r="C53" s="978"/>
      <c r="D53" s="979"/>
      <c r="E53" s="981" t="str">
        <f>IF($C34="No",_xlfn.CONCAT("Contracted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54" spans="2:5">
      <c r="B54" s="762"/>
      <c r="C54" s="762"/>
      <c r="D54" s="762"/>
      <c r="E54" s="762"/>
    </row>
    <row r="55" spans="2:5">
      <c r="B55" s="995" t="s">
        <v>1682</v>
      </c>
      <c r="C55" s="1083"/>
      <c r="D55" s="997"/>
      <c r="E55" s="998"/>
    </row>
    <row r="56" spans="2:5" ht="30">
      <c r="B56" s="985" t="s">
        <v>1686</v>
      </c>
      <c r="C56" s="978"/>
      <c r="D56" s="979"/>
      <c r="E56" s="986"/>
    </row>
    <row r="58" spans="2:5" ht="409.5">
      <c r="B58" s="983" t="s">
        <v>1691</v>
      </c>
      <c r="C58" s="984"/>
      <c r="D58" s="984"/>
      <c r="E58" s="826" t="s">
        <v>1767</v>
      </c>
    </row>
    <row r="59" spans="2:5" ht="30">
      <c r="B59" s="985" t="s">
        <v>1739</v>
      </c>
      <c r="C59" s="977"/>
      <c r="D59" s="979"/>
      <c r="E59" s="1003"/>
    </row>
    <row r="60" spans="2:5">
      <c r="B60" s="762"/>
      <c r="C60" s="762"/>
      <c r="D60" s="762"/>
      <c r="E60" s="762"/>
    </row>
    <row r="61" spans="2:5" ht="30">
      <c r="B61" s="993" t="str">
        <f>_xlfn.CONCAT("Enter any one-time costs for ","'",$B58,"'"," attributable to this implementation.")</f>
        <v>Enter any one-time costs for 'Identification, authentication, and access control' attributable to this implementation.</v>
      </c>
      <c r="C61" s="1082"/>
      <c r="D61" s="1082"/>
      <c r="E61" s="992" t="str">
        <f>IF($C59="No","Consider if there are any one-time activities during the 'Development' and/or 'Deployment' phases of implementation.","")</f>
        <v/>
      </c>
    </row>
    <row r="62" spans="2:5">
      <c r="B62" s="995" t="s">
        <v>1638</v>
      </c>
      <c r="C62" s="1083"/>
      <c r="D62" s="997"/>
      <c r="E62" s="998"/>
    </row>
    <row r="63" spans="2:5" ht="30">
      <c r="B63" s="985" t="str">
        <f>_xlfn.CONCAT("Enter the daily rate for a single staff worker working on ","'",B58,".'")</f>
        <v>Enter the daily rate for a single staff worker working on 'Identification, authentication, and access control.'</v>
      </c>
      <c r="C63" s="978"/>
      <c r="D63" s="979"/>
      <c r="E63" s="1017" t="str">
        <f>IF($C59="No",_xlfn.CONCAT("If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64" spans="2:5" ht="30">
      <c r="B64" s="985" t="str">
        <f>_xlfn.CONCAT("Enter the level of effort (number of days) needed to complete ","'",B58,".'")</f>
        <v>Enter the level of effort (number of days) needed to complete 'Identification, authentication, and access control.'</v>
      </c>
      <c r="C64" s="978"/>
      <c r="D64" s="979"/>
      <c r="E64" s="1017"/>
    </row>
    <row r="65" spans="2:5">
      <c r="B65" s="762"/>
      <c r="C65" s="762"/>
      <c r="D65" s="762"/>
      <c r="E65" s="762"/>
    </row>
    <row r="66" spans="2:5" ht="30">
      <c r="B66" s="995" t="s">
        <v>5</v>
      </c>
      <c r="C66" s="1083"/>
      <c r="D66" s="997"/>
      <c r="E66" s="998" t="str">
        <f>IF($C59="No",_xlfn.CONCAT("Enter the cost of any equipment needed for this activity within the 'Deployment costs' tab as 'Any other equipment' under the 'Equipment' section."),"")</f>
        <v/>
      </c>
    </row>
    <row r="67" spans="2:5">
      <c r="B67" s="985"/>
      <c r="C67" s="1084"/>
      <c r="D67" s="1000"/>
      <c r="E67" s="982"/>
    </row>
    <row r="68" spans="2:5">
      <c r="B68" s="995" t="s">
        <v>291</v>
      </c>
      <c r="C68" s="1083"/>
      <c r="D68" s="997"/>
      <c r="E68" s="998"/>
    </row>
    <row r="69" spans="2:5" ht="30">
      <c r="B69" s="985" t="s">
        <v>1683</v>
      </c>
      <c r="C69" s="978"/>
      <c r="D69" s="979"/>
      <c r="E69" s="981" t="str">
        <f>IF($C59="No",_xlfn.CONCAT("If multiple software licenses are required, use the 'Software' table on the 'Calculator' tab to sum the cost for all software licenses. Paste the values from 'Total cost' here."),"")</f>
        <v/>
      </c>
    </row>
    <row r="70" spans="2:5">
      <c r="B70" s="762"/>
      <c r="C70" s="762"/>
      <c r="D70" s="762"/>
      <c r="E70" s="762"/>
    </row>
    <row r="71" spans="2:5">
      <c r="B71" s="995" t="s">
        <v>1639</v>
      </c>
      <c r="C71" s="1083"/>
      <c r="D71" s="997"/>
      <c r="E71" s="998"/>
    </row>
    <row r="72" spans="2:5" ht="105">
      <c r="B72" s="985" t="s">
        <v>1765</v>
      </c>
      <c r="C72" s="978"/>
      <c r="D72" s="979"/>
      <c r="E72" s="986" t="str">
        <f>IF($C59="No",_xlfn.CONCAT("Contracted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73" spans="2:5">
      <c r="B73" s="762"/>
      <c r="C73" s="762"/>
      <c r="D73" s="762"/>
      <c r="E73" s="762"/>
    </row>
    <row r="74" spans="2:5">
      <c r="B74" s="995" t="s">
        <v>1682</v>
      </c>
      <c r="C74" s="1083"/>
      <c r="D74" s="997"/>
      <c r="E74" s="998"/>
    </row>
    <row r="75" spans="2:5" ht="30">
      <c r="B75" s="985" t="s">
        <v>1687</v>
      </c>
      <c r="C75" s="978"/>
      <c r="D75" s="979"/>
      <c r="E75" s="986"/>
    </row>
    <row r="76" spans="2:5">
      <c r="B76" s="762"/>
      <c r="C76" s="762"/>
      <c r="D76" s="762"/>
      <c r="E76" s="762"/>
    </row>
    <row r="77" spans="2:5" ht="30">
      <c r="B77" s="993" t="str">
        <f>_xlfn.CONCAT("Enter the annual recurring costs for ","'",$B58,"'"," attributable to this implementation.")</f>
        <v>Enter the annual recurring costs for 'Identification, authentication, and access control' attributable to this implementation.</v>
      </c>
      <c r="C77" s="1082"/>
      <c r="D77" s="1082" t="str">
        <f>IF($C59="No","","")</f>
        <v/>
      </c>
      <c r="E77" s="992" t="str">
        <f>IF($C59="No",_xlfn.CONCAT("Consider which activities are intended to be repeated multiple times throughout all phases of implementation."),"")</f>
        <v/>
      </c>
    </row>
    <row r="78" spans="2:5">
      <c r="B78" s="995" t="s">
        <v>1638</v>
      </c>
      <c r="C78" s="1083"/>
      <c r="D78" s="997"/>
      <c r="E78" s="998"/>
    </row>
    <row r="79" spans="2:5" ht="30">
      <c r="B79" s="985" t="str">
        <f>_xlfn.CONCAT("Enter the daily rate for a single staff worker working on ","'",B58,".'")</f>
        <v>Enter the daily rate for a single staff worker working on 'Identification, authentication, and access control.'</v>
      </c>
      <c r="C79" s="978"/>
      <c r="D79" s="979"/>
      <c r="E79" s="1017" t="str">
        <f>IF($C59="No",_xlfn.CONCAT("If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80" spans="2:5" ht="30">
      <c r="B80" s="985" t="str">
        <f>_xlfn.CONCAT("Enter the level of effort (number of days) needed to complete ","'",B58,"' on an annual basis.")</f>
        <v>Enter the level of effort (number of days) needed to complete 'Identification, authentication, and access control' on an annual basis.</v>
      </c>
      <c r="C80" s="978"/>
      <c r="D80" s="979"/>
      <c r="E80" s="1017"/>
    </row>
    <row r="81" spans="2:5">
      <c r="B81" s="762"/>
      <c r="C81" s="762"/>
      <c r="D81" s="762"/>
      <c r="E81" s="762"/>
    </row>
    <row r="82" spans="2:5" ht="60">
      <c r="B82" s="995" t="s">
        <v>5</v>
      </c>
      <c r="C82" s="1083"/>
      <c r="D82" s="997"/>
      <c r="E82" s="998" t="str">
        <f>IF($C59="No",_xlfn.CONCAT("Enter the cost of any equipment needed for this activity within the 'Deployment costs' tab as 'Any other equipment' under the 'Equipment' section", " and consider the annual replacement rate for this equipment within the 'Operations costs' tab under 'Equipment replacement.'"),"")</f>
        <v/>
      </c>
    </row>
    <row r="83" spans="2:5">
      <c r="B83" s="985"/>
      <c r="C83" s="1084"/>
      <c r="D83" s="1000"/>
      <c r="E83" s="982"/>
    </row>
    <row r="84" spans="2:5">
      <c r="B84" s="995" t="s">
        <v>291</v>
      </c>
      <c r="C84" s="1083"/>
      <c r="D84" s="997"/>
      <c r="E84" s="998"/>
    </row>
    <row r="85" spans="2:5" ht="45">
      <c r="B85" s="985" t="s">
        <v>1684</v>
      </c>
      <c r="C85" s="978"/>
      <c r="D85" s="979"/>
      <c r="E85" s="981" t="str">
        <f>IF($C59="No",_xlfn.CONCAT("If multiple software licenses are required, use the 'Software' table on the 'Calculator' tab to sum the cost for all software licenses. Paste the values from 'Cost per user (weighted)' and 'Sites or users' here."),"")</f>
        <v/>
      </c>
    </row>
    <row r="86" spans="2:5">
      <c r="B86" s="762"/>
      <c r="C86" s="762"/>
      <c r="D86" s="762"/>
      <c r="E86" s="762"/>
    </row>
    <row r="87" spans="2:5">
      <c r="B87" s="995" t="s">
        <v>1639</v>
      </c>
      <c r="C87" s="1083"/>
      <c r="D87" s="997"/>
      <c r="E87" s="998"/>
    </row>
    <row r="88" spans="2:5" ht="105">
      <c r="B88" s="985" t="s">
        <v>1685</v>
      </c>
      <c r="C88" s="978"/>
      <c r="D88" s="979"/>
      <c r="E88" s="981" t="str">
        <f>IF($C59="No",_xlfn.CONCAT("Contracted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89" spans="2:5">
      <c r="B89" s="762"/>
      <c r="C89" s="762"/>
      <c r="D89" s="762"/>
      <c r="E89" s="762"/>
    </row>
    <row r="90" spans="2:5">
      <c r="B90" s="995" t="s">
        <v>1682</v>
      </c>
      <c r="C90" s="1083"/>
      <c r="D90" s="997"/>
      <c r="E90" s="998"/>
    </row>
    <row r="91" spans="2:5" ht="30">
      <c r="B91" s="985" t="s">
        <v>1686</v>
      </c>
      <c r="C91" s="978"/>
      <c r="D91" s="979"/>
      <c r="E91" s="986"/>
    </row>
    <row r="93" spans="2:5" ht="240">
      <c r="B93" s="983" t="s">
        <v>1692</v>
      </c>
      <c r="C93" s="984"/>
      <c r="D93" s="984"/>
      <c r="E93" s="826" t="s">
        <v>1768</v>
      </c>
    </row>
    <row r="94" spans="2:5" ht="30">
      <c r="B94" s="985" t="s">
        <v>1740</v>
      </c>
      <c r="C94" s="977"/>
      <c r="D94" s="979"/>
      <c r="E94" s="1003"/>
    </row>
    <row r="95" spans="2:5">
      <c r="B95" s="762"/>
      <c r="C95" s="762"/>
      <c r="D95" s="762"/>
      <c r="E95" s="762"/>
    </row>
    <row r="96" spans="2:5" ht="30">
      <c r="B96" s="993" t="str">
        <f>_xlfn.CONCAT("Enter any one-time costs for ","'",$B93,"'"," attributable to this implementation.")</f>
        <v>Enter any one-time costs for 'Software safeguards' attributable to this implementation.</v>
      </c>
      <c r="C96" s="1082"/>
      <c r="D96" s="1082"/>
      <c r="E96" s="992" t="str">
        <f>IF($C94="No","Consider if there are any one-time activities during the 'Development' and/or 'Deployment' phases of implementation.","")</f>
        <v/>
      </c>
    </row>
    <row r="97" spans="2:5">
      <c r="B97" s="995" t="s">
        <v>1638</v>
      </c>
      <c r="C97" s="1083"/>
      <c r="D97" s="997"/>
      <c r="E97" s="998"/>
    </row>
    <row r="98" spans="2:5" ht="30">
      <c r="B98" s="985" t="str">
        <f>_xlfn.CONCAT("Enter the daily rate for a single staff worker working on ","'",B93,".'")</f>
        <v>Enter the daily rate for a single staff worker working on 'Software safeguards.'</v>
      </c>
      <c r="C98" s="978"/>
      <c r="D98" s="979"/>
      <c r="E98" s="1017" t="str">
        <f>IF($C94="No",_xlfn.CONCAT("If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99" spans="2:5" ht="30">
      <c r="B99" s="985" t="str">
        <f>_xlfn.CONCAT("Enter the level of effort (number of days) needed to complete ","'",B93,".'")</f>
        <v>Enter the level of effort (number of days) needed to complete 'Software safeguards.'</v>
      </c>
      <c r="C99" s="978"/>
      <c r="D99" s="979"/>
      <c r="E99" s="1017"/>
    </row>
    <row r="100" spans="2:5">
      <c r="B100" s="762"/>
      <c r="C100" s="762"/>
      <c r="D100" s="762"/>
      <c r="E100" s="762"/>
    </row>
    <row r="101" spans="2:5">
      <c r="B101" s="995" t="s">
        <v>291</v>
      </c>
      <c r="C101" s="1083"/>
      <c r="D101" s="997"/>
      <c r="E101" s="998"/>
    </row>
    <row r="102" spans="2:5">
      <c r="B102" s="985" t="s">
        <v>1683</v>
      </c>
      <c r="C102" s="978"/>
      <c r="D102" s="979"/>
      <c r="E102" s="981" t="str">
        <f>IF($C94="No",_xlfn.CONCAT("If multiple software licenses are required, use the 'Software' table on the 'Calculator' tab to sum the cost for all software licenses. Paste the values from 'Total cost' here."),"")</f>
        <v/>
      </c>
    </row>
    <row r="103" spans="2:5">
      <c r="B103" s="762"/>
      <c r="C103" s="762"/>
      <c r="D103" s="762"/>
      <c r="E103" s="762"/>
    </row>
    <row r="104" spans="2:5">
      <c r="B104" s="995" t="s">
        <v>1639</v>
      </c>
      <c r="C104" s="1083"/>
      <c r="D104" s="997"/>
      <c r="E104" s="998"/>
    </row>
    <row r="105" spans="2:5">
      <c r="B105" s="985" t="s">
        <v>1765</v>
      </c>
      <c r="C105" s="978"/>
      <c r="D105" s="979"/>
      <c r="E105" s="986" t="str">
        <f>IF($C94="No",_xlfn.CONCAT("Contracted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106" spans="2:5">
      <c r="B106" s="762"/>
      <c r="C106" s="762"/>
      <c r="D106" s="762"/>
      <c r="E106" s="762"/>
    </row>
    <row r="107" spans="2:5">
      <c r="B107" s="995" t="s">
        <v>1682</v>
      </c>
      <c r="C107" s="1083"/>
      <c r="D107" s="997"/>
      <c r="E107" s="998"/>
    </row>
    <row r="108" spans="2:5" ht="30">
      <c r="B108" s="985" t="s">
        <v>1687</v>
      </c>
      <c r="C108" s="978"/>
      <c r="D108" s="979"/>
      <c r="E108" s="986"/>
    </row>
    <row r="109" spans="2:5">
      <c r="B109" s="762"/>
      <c r="C109" s="762"/>
      <c r="D109" s="762"/>
      <c r="E109" s="762"/>
    </row>
    <row r="110" spans="2:5" ht="30">
      <c r="B110" s="993" t="str">
        <f>_xlfn.CONCAT("Enter the annual recurring costs for ","'",$B93,"'"," attributable to this implementation.")</f>
        <v>Enter the annual recurring costs for 'Software safeguards' attributable to this implementation.</v>
      </c>
      <c r="C110" s="1082"/>
      <c r="D110" s="1082" t="str">
        <f>IF($C94="No","","")</f>
        <v/>
      </c>
      <c r="E110" s="992" t="str">
        <f>IF($C94="No",_xlfn.CONCAT("Consider which activities are intended to be repeated multiple times throughout all phases of implementation."),"")</f>
        <v/>
      </c>
    </row>
    <row r="111" spans="2:5">
      <c r="B111" s="995" t="s">
        <v>1638</v>
      </c>
      <c r="C111" s="1083"/>
      <c r="D111" s="997"/>
      <c r="E111" s="998"/>
    </row>
    <row r="112" spans="2:5" ht="30">
      <c r="B112" s="985" t="str">
        <f>_xlfn.CONCAT("Enter the daily rate for a single staff worker working on ","'",B93,".'")</f>
        <v>Enter the daily rate for a single staff worker working on 'Software safeguards.'</v>
      </c>
      <c r="C112" s="978"/>
      <c r="D112" s="979"/>
      <c r="E112" s="1017" t="str">
        <f>IF($C94="No",_xlfn.CONCAT("If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113" spans="2:5" ht="30">
      <c r="B113" s="985" t="str">
        <f>_xlfn.CONCAT("Enter the level of effort (number of days) needed to complete ","'",B93,"' on an annual basis.")</f>
        <v>Enter the level of effort (number of days) needed to complete 'Software safeguards' on an annual basis.</v>
      </c>
      <c r="C113" s="978"/>
      <c r="D113" s="979"/>
      <c r="E113" s="1017"/>
    </row>
    <row r="114" spans="2:5">
      <c r="B114" s="762"/>
      <c r="C114" s="762"/>
      <c r="D114" s="762"/>
      <c r="E114" s="762"/>
    </row>
    <row r="115" spans="2:5">
      <c r="B115" s="995" t="s">
        <v>291</v>
      </c>
      <c r="C115" s="1083"/>
      <c r="D115" s="997"/>
      <c r="E115" s="998"/>
    </row>
    <row r="116" spans="2:5">
      <c r="B116" s="985" t="s">
        <v>1684</v>
      </c>
      <c r="C116" s="978"/>
      <c r="D116" s="979"/>
      <c r="E116" s="981" t="str">
        <f>IF($C94="No",_xlfn.CONCAT("If multiple software licenses are required, use the 'Software' table on the 'Calculator' tab to sum the cost for all software licenses. Paste the values from 'Cost per user (weighted)' and 'Sites or users' here."),"")</f>
        <v/>
      </c>
    </row>
    <row r="117" spans="2:5">
      <c r="B117" s="762"/>
      <c r="C117" s="762"/>
      <c r="D117" s="762"/>
      <c r="E117" s="762"/>
    </row>
    <row r="118" spans="2:5">
      <c r="B118" s="995" t="s">
        <v>1639</v>
      </c>
      <c r="C118" s="1083"/>
      <c r="D118" s="997"/>
      <c r="E118" s="998"/>
    </row>
    <row r="119" spans="2:5">
      <c r="B119" s="985" t="s">
        <v>1685</v>
      </c>
      <c r="C119" s="978"/>
      <c r="D119" s="979"/>
      <c r="E119" s="981" t="str">
        <f>IF($C94="No",_xlfn.CONCAT("Contracted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120" spans="2:5">
      <c r="B120" s="762"/>
      <c r="C120" s="762"/>
      <c r="D120" s="762"/>
      <c r="E120" s="762"/>
    </row>
    <row r="121" spans="2:5">
      <c r="B121" s="995" t="s">
        <v>1682</v>
      </c>
      <c r="C121" s="1083"/>
      <c r="D121" s="997"/>
      <c r="E121" s="998"/>
    </row>
    <row r="122" spans="2:5" ht="30">
      <c r="B122" s="985" t="s">
        <v>1686</v>
      </c>
      <c r="C122" s="978"/>
      <c r="D122" s="979"/>
      <c r="E122" s="986"/>
    </row>
    <row r="123" spans="2:5">
      <c r="B123" s="762"/>
      <c r="C123" s="762"/>
      <c r="D123" s="762"/>
      <c r="E123" s="762"/>
    </row>
    <row r="124" spans="2:5" ht="120">
      <c r="B124" s="983" t="s">
        <v>1693</v>
      </c>
      <c r="C124" s="984"/>
      <c r="D124" s="984"/>
      <c r="E124" s="984" t="s">
        <v>1704</v>
      </c>
    </row>
    <row r="125" spans="2:5" ht="30">
      <c r="B125" s="985" t="s">
        <v>1741</v>
      </c>
      <c r="C125" s="977"/>
      <c r="D125" s="979"/>
      <c r="E125" s="1003"/>
    </row>
    <row r="126" spans="2:5">
      <c r="B126" s="762"/>
      <c r="C126" s="762"/>
      <c r="D126" s="762"/>
      <c r="E126" s="762"/>
    </row>
    <row r="127" spans="2:5" ht="30">
      <c r="B127" s="993" t="str">
        <f>_xlfn.CONCAT("Enter any one-time costs for ","'",$B124,"'"," attributable to this implementation.")</f>
        <v>Enter any one-time costs for 'Data backup and recovery' attributable to this implementation.</v>
      </c>
      <c r="C127" s="1082"/>
      <c r="D127" s="1082"/>
      <c r="E127" s="992" t="str">
        <f>IF($C125="No","Consider if there are any one-time activities during the 'Development' and/or 'Deployment' phases of implementation.","")</f>
        <v/>
      </c>
    </row>
    <row r="128" spans="2:5">
      <c r="B128" s="995" t="s">
        <v>1638</v>
      </c>
      <c r="C128" s="1083"/>
      <c r="D128" s="997"/>
      <c r="E128" s="998"/>
    </row>
    <row r="129" spans="2:5" ht="30">
      <c r="B129" s="985" t="str">
        <f>_xlfn.CONCAT("Enter the daily rate for a single staff worker working on ","'",B124,".'")</f>
        <v>Enter the daily rate for a single staff worker working on 'Data backup and recovery.'</v>
      </c>
      <c r="C129" s="978"/>
      <c r="D129" s="979"/>
      <c r="E129" s="1017" t="str">
        <f>IF($C125="No",_xlfn.CONCAT("If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130" spans="2:5" ht="30">
      <c r="B130" s="985" t="str">
        <f>_xlfn.CONCAT("Enter the level of effort (number of days) needed to complete ","'",B124,".'")</f>
        <v>Enter the level of effort (number of days) needed to complete 'Data backup and recovery.'</v>
      </c>
      <c r="C130" s="978"/>
      <c r="D130" s="979"/>
      <c r="E130" s="1017"/>
    </row>
    <row r="131" spans="2:5">
      <c r="B131" s="762"/>
      <c r="C131" s="762"/>
      <c r="D131" s="762"/>
      <c r="E131" s="762"/>
    </row>
    <row r="132" spans="2:5">
      <c r="B132" s="995" t="s">
        <v>5</v>
      </c>
      <c r="C132" s="1083"/>
      <c r="D132" s="997"/>
      <c r="E132" s="998" t="str">
        <f>IF($C125="No",_xlfn.CONCAT("Enter the cost of any equipment needed for this activity within the 'Deployment costs' tab as 'Any other equipment' under the 'Equipment' section."),"")</f>
        <v/>
      </c>
    </row>
    <row r="133" spans="2:5">
      <c r="B133" s="985"/>
      <c r="C133" s="1084"/>
      <c r="D133" s="1000"/>
      <c r="E133" s="982"/>
    </row>
    <row r="134" spans="2:5">
      <c r="B134" s="995" t="s">
        <v>291</v>
      </c>
      <c r="C134" s="1083"/>
      <c r="D134" s="997"/>
      <c r="E134" s="998"/>
    </row>
    <row r="135" spans="2:5">
      <c r="B135" s="985" t="s">
        <v>1683</v>
      </c>
      <c r="C135" s="978"/>
      <c r="D135" s="979"/>
      <c r="E135" s="981" t="str">
        <f>IF($C125="No",_xlfn.CONCAT("If multiple software licenses are required, use the 'Software' table on the 'Calculator' tab to sum the cost for all software licenses. Paste the values from 'Total cost' here."),"")</f>
        <v/>
      </c>
    </row>
    <row r="136" spans="2:5">
      <c r="B136" s="762"/>
      <c r="C136" s="762"/>
      <c r="D136" s="762"/>
      <c r="E136" s="762"/>
    </row>
    <row r="137" spans="2:5">
      <c r="B137" s="995" t="s">
        <v>1639</v>
      </c>
      <c r="C137" s="1083"/>
      <c r="D137" s="997"/>
      <c r="E137" s="998"/>
    </row>
    <row r="138" spans="2:5">
      <c r="B138" s="985" t="s">
        <v>1765</v>
      </c>
      <c r="C138" s="978"/>
      <c r="D138" s="979"/>
      <c r="E138" s="986" t="str">
        <f>IF($C125="No",_xlfn.CONCAT("Contracted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139" spans="2:5">
      <c r="B139" s="762"/>
      <c r="C139" s="762"/>
      <c r="D139" s="762"/>
      <c r="E139" s="762"/>
    </row>
    <row r="140" spans="2:5">
      <c r="B140" s="995" t="s">
        <v>1682</v>
      </c>
      <c r="C140" s="1083"/>
      <c r="D140" s="997"/>
      <c r="E140" s="998"/>
    </row>
    <row r="141" spans="2:5" ht="30">
      <c r="B141" s="985" t="s">
        <v>1687</v>
      </c>
      <c r="C141" s="978"/>
      <c r="D141" s="979"/>
      <c r="E141" s="986" t="str">
        <f>IF($C125="No","e.g., backup hosting","")</f>
        <v/>
      </c>
    </row>
    <row r="142" spans="2:5">
      <c r="B142" s="762"/>
      <c r="C142" s="762"/>
      <c r="D142" s="762"/>
      <c r="E142" s="762"/>
    </row>
    <row r="143" spans="2:5" ht="30">
      <c r="B143" s="993" t="str">
        <f>_xlfn.CONCAT("Enter the annual recurring costs for ","'",$B124,"'"," attributable to this implementation.")</f>
        <v>Enter the annual recurring costs for 'Data backup and recovery' attributable to this implementation.</v>
      </c>
      <c r="C143" s="1082"/>
      <c r="D143" s="1082" t="str">
        <f>IF($C125="No","","")</f>
        <v/>
      </c>
      <c r="E143" s="992" t="str">
        <f>IF($C125="No",_xlfn.CONCAT("Consider which activities are intended to be repeated multiple times throughout all phases of implementation."),"")</f>
        <v/>
      </c>
    </row>
    <row r="144" spans="2:5">
      <c r="B144" s="995" t="s">
        <v>1638</v>
      </c>
      <c r="C144" s="1083"/>
      <c r="D144" s="997"/>
      <c r="E144" s="998"/>
    </row>
    <row r="145" spans="2:5" ht="30">
      <c r="B145" s="985" t="str">
        <f>_xlfn.CONCAT("Enter the daily rate for a single staff worker working on ","'",B124,".'")</f>
        <v>Enter the daily rate for a single staff worker working on 'Data backup and recovery.'</v>
      </c>
      <c r="C145" s="978"/>
      <c r="D145" s="979"/>
      <c r="E145" s="1017" t="str">
        <f>IF($C125="No",_xlfn.CONCAT("If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146" spans="2:5" ht="30">
      <c r="B146" s="985" t="str">
        <f>_xlfn.CONCAT("Enter the level of effort (number of days) needed to complete ","'",B124,"' on an annual basis.")</f>
        <v>Enter the level of effort (number of days) needed to complete 'Data backup and recovery' on an annual basis.</v>
      </c>
      <c r="C146" s="978"/>
      <c r="D146" s="979"/>
      <c r="E146" s="1017"/>
    </row>
    <row r="147" spans="2:5">
      <c r="B147" s="762"/>
      <c r="C147" s="762"/>
      <c r="D147" s="762"/>
      <c r="E147" s="762"/>
    </row>
    <row r="148" spans="2:5">
      <c r="B148" s="995" t="s">
        <v>5</v>
      </c>
      <c r="C148" s="1083"/>
      <c r="D148" s="997"/>
      <c r="E148" s="998" t="str">
        <f>IF($C125="No",_xlfn.CONCAT("Enter the cost of any equipment needed for this activity within the 'Deployment costs' tab as 'Any other equipment' under the 'Equipment' section", " and consider the annual replacement rate for this equipment within the 'Operations costs' tab under 'Equipment replacement.'"),"")</f>
        <v/>
      </c>
    </row>
    <row r="149" spans="2:5">
      <c r="B149" s="985"/>
      <c r="C149" s="1084"/>
      <c r="D149" s="1000"/>
      <c r="E149" s="982"/>
    </row>
    <row r="150" spans="2:5">
      <c r="B150" s="995" t="s">
        <v>291</v>
      </c>
      <c r="C150" s="1083"/>
      <c r="D150" s="997"/>
      <c r="E150" s="998"/>
    </row>
    <row r="151" spans="2:5">
      <c r="B151" s="985" t="s">
        <v>1684</v>
      </c>
      <c r="C151" s="978"/>
      <c r="D151" s="979"/>
      <c r="E151" s="981" t="str">
        <f>IF($C125="No",_xlfn.CONCAT("If multiple software licenses are required, use the 'Software' table on the 'Calculator' tab to sum the cost for all software licenses. Paste the values from 'Cost per user (weighted)' and 'Sites or users' here."),"")</f>
        <v/>
      </c>
    </row>
    <row r="152" spans="2:5">
      <c r="B152" s="762"/>
      <c r="C152" s="762"/>
      <c r="D152" s="762"/>
      <c r="E152" s="762"/>
    </row>
    <row r="153" spans="2:5">
      <c r="B153" s="995" t="s">
        <v>1639</v>
      </c>
      <c r="C153" s="1083"/>
      <c r="D153" s="997"/>
      <c r="E153" s="998"/>
    </row>
    <row r="154" spans="2:5">
      <c r="B154" s="985" t="s">
        <v>1685</v>
      </c>
      <c r="C154" s="978"/>
      <c r="D154" s="979"/>
      <c r="E154" s="981" t="str">
        <f>IF($C125="No",_xlfn.CONCAT("Contracted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155" spans="2:5">
      <c r="B155" s="762"/>
      <c r="C155" s="762"/>
      <c r="D155" s="762"/>
      <c r="E155" s="762"/>
    </row>
    <row r="156" spans="2:5">
      <c r="B156" s="995" t="s">
        <v>1682</v>
      </c>
      <c r="C156" s="1083"/>
      <c r="D156" s="997"/>
      <c r="E156" s="998"/>
    </row>
    <row r="157" spans="2:5" ht="30">
      <c r="B157" s="985" t="s">
        <v>1686</v>
      </c>
      <c r="C157" s="978"/>
      <c r="D157" s="979"/>
      <c r="E157" s="986"/>
    </row>
    <row r="159" spans="2:5" ht="375">
      <c r="B159" s="1018" t="s">
        <v>1694</v>
      </c>
      <c r="C159" s="984"/>
      <c r="D159" s="984"/>
      <c r="E159" s="984" t="s">
        <v>1769</v>
      </c>
    </row>
    <row r="160" spans="2:5" ht="195">
      <c r="B160" s="1018"/>
      <c r="C160" s="984"/>
      <c r="D160" s="984"/>
      <c r="E160" s="984" t="s">
        <v>1770</v>
      </c>
    </row>
    <row r="161" spans="2:5" ht="30">
      <c r="B161" s="985" t="s">
        <v>1742</v>
      </c>
      <c r="C161" s="977"/>
      <c r="D161" s="979"/>
      <c r="E161" s="1003"/>
    </row>
    <row r="162" spans="2:5">
      <c r="B162" s="762"/>
      <c r="C162" s="762"/>
      <c r="D162" s="762"/>
      <c r="E162" s="762"/>
    </row>
    <row r="163" spans="2:5" ht="30">
      <c r="B163" s="993" t="str">
        <f>_xlfn.CONCAT("Enter any one-time costs for ","'",$B159,"'"," attributable to this implementation.")</f>
        <v>Enter any one-time costs for 'Incident response' attributable to this implementation.</v>
      </c>
      <c r="C163" s="1082"/>
      <c r="D163" s="1082"/>
      <c r="E163" s="992" t="str">
        <f>IF($C161="No","Consider if there are any one-time activities during the 'Development' and/or 'Deployment' phases of implementation.","")</f>
        <v/>
      </c>
    </row>
    <row r="164" spans="2:5">
      <c r="B164" s="995" t="s">
        <v>1638</v>
      </c>
      <c r="C164" s="1083"/>
      <c r="D164" s="997"/>
      <c r="E164" s="998"/>
    </row>
    <row r="165" spans="2:5" ht="30">
      <c r="B165" s="985" t="str">
        <f>_xlfn.CONCAT("Enter the daily rate for a single staff worker working on ","'",B159,".'")</f>
        <v>Enter the daily rate for a single staff worker working on 'Incident response.'</v>
      </c>
      <c r="C165" s="978"/>
      <c r="D165" s="979"/>
      <c r="E165" s="1017" t="str">
        <f>IF($C161="No",_xlfn.CONCAT("If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166" spans="2:5" ht="30">
      <c r="B166" s="985" t="str">
        <f>_xlfn.CONCAT("Enter the level of effort (number of days) needed to complete ","'",B159,".'")</f>
        <v>Enter the level of effort (number of days) needed to complete 'Incident response.'</v>
      </c>
      <c r="C166" s="978"/>
      <c r="D166" s="979"/>
      <c r="E166" s="1017"/>
    </row>
    <row r="167" spans="2:5">
      <c r="B167" s="762"/>
      <c r="C167" s="762"/>
      <c r="D167" s="762"/>
      <c r="E167" s="762"/>
    </row>
    <row r="168" spans="2:5">
      <c r="B168" s="995" t="s">
        <v>291</v>
      </c>
      <c r="C168" s="1083"/>
      <c r="D168" s="997"/>
      <c r="E168" s="998"/>
    </row>
    <row r="169" spans="2:5">
      <c r="B169" s="985" t="s">
        <v>1683</v>
      </c>
      <c r="C169" s="978"/>
      <c r="D169" s="979"/>
      <c r="E169" s="981" t="str">
        <f>IF($C161="No",_xlfn.CONCAT("If multiple software licenses are required, use the 'Software' table on the 'Calculator' tab to sum the cost for all software licenses. Paste the values from 'Total cost' here."),"")</f>
        <v/>
      </c>
    </row>
    <row r="170" spans="2:5">
      <c r="B170" s="762"/>
      <c r="C170" s="762"/>
      <c r="D170" s="762"/>
      <c r="E170" s="762"/>
    </row>
    <row r="171" spans="2:5">
      <c r="B171" s="995" t="s">
        <v>1639</v>
      </c>
      <c r="C171" s="1083"/>
      <c r="D171" s="997"/>
      <c r="E171" s="998"/>
    </row>
    <row r="172" spans="2:5">
      <c r="B172" s="985" t="s">
        <v>1765</v>
      </c>
      <c r="C172" s="978"/>
      <c r="D172" s="979"/>
      <c r="E172" s="986" t="str">
        <f>IF($C161="No",_xlfn.CONCAT("Contracted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173" spans="2:5">
      <c r="B173" s="762"/>
      <c r="C173" s="762"/>
      <c r="D173" s="762"/>
      <c r="E173" s="762"/>
    </row>
    <row r="174" spans="2:5">
      <c r="B174" s="995" t="s">
        <v>1682</v>
      </c>
      <c r="C174" s="1083"/>
      <c r="D174" s="997"/>
      <c r="E174" s="998"/>
    </row>
    <row r="175" spans="2:5" ht="30">
      <c r="B175" s="985" t="s">
        <v>1687</v>
      </c>
      <c r="C175" s="978"/>
      <c r="D175" s="979"/>
      <c r="E175" s="986"/>
    </row>
    <row r="176" spans="2:5">
      <c r="B176" s="762"/>
      <c r="C176" s="762"/>
      <c r="D176" s="762"/>
      <c r="E176" s="762"/>
    </row>
    <row r="177" spans="2:5" ht="30">
      <c r="B177" s="993" t="str">
        <f>_xlfn.CONCAT("Enter the annual recurring costs for ","'",$B159,"'"," attributable to this implementation.")</f>
        <v>Enter the annual recurring costs for 'Incident response' attributable to this implementation.</v>
      </c>
      <c r="C177" s="1082"/>
      <c r="D177" s="1082" t="str">
        <f>IF($C161="No","","")</f>
        <v/>
      </c>
      <c r="E177" s="992" t="str">
        <f>IF($C161="No",_xlfn.CONCAT("Consider which activities are intended to be repeated multiple times throughout all phases of implementation."),"")</f>
        <v/>
      </c>
    </row>
    <row r="178" spans="2:5">
      <c r="B178" s="995" t="s">
        <v>1638</v>
      </c>
      <c r="C178" s="1083"/>
      <c r="D178" s="997"/>
      <c r="E178" s="998"/>
    </row>
    <row r="179" spans="2:5" ht="30">
      <c r="B179" s="985" t="str">
        <f>_xlfn.CONCAT("Enter the daily rate for a single staff worker working on ","'",B159,".'")</f>
        <v>Enter the daily rate for a single staff worker working on 'Incident response.'</v>
      </c>
      <c r="C179" s="978"/>
      <c r="D179" s="979"/>
      <c r="E179" s="1017" t="str">
        <f>IF($C161="No",_xlfn.CONCAT("If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180" spans="2:5" ht="30">
      <c r="B180" s="985" t="str">
        <f>_xlfn.CONCAT("Enter the level of effort (number of days) needed to complete ","'",B159,"' on an annual basis.")</f>
        <v>Enter the level of effort (number of days) needed to complete 'Incident response' on an annual basis.</v>
      </c>
      <c r="C180" s="978"/>
      <c r="D180" s="979"/>
      <c r="E180" s="1017"/>
    </row>
    <row r="181" spans="2:5">
      <c r="B181" s="762"/>
      <c r="C181" s="762"/>
      <c r="D181" s="762"/>
      <c r="E181" s="762"/>
    </row>
    <row r="182" spans="2:5">
      <c r="B182" s="995" t="s">
        <v>291</v>
      </c>
      <c r="C182" s="1083"/>
      <c r="D182" s="997"/>
      <c r="E182" s="998"/>
    </row>
    <row r="183" spans="2:5">
      <c r="B183" s="985" t="s">
        <v>1684</v>
      </c>
      <c r="C183" s="978"/>
      <c r="D183" s="979"/>
      <c r="E183" s="981" t="str">
        <f>IF($C161="No",_xlfn.CONCAT("If multiple software licenses are required, use the 'Software' table on the 'Calculator' tab to sum the cost for all software licenses. Paste the values from 'Cost per user (weighted)' and 'Sites or users' here."),"")</f>
        <v/>
      </c>
    </row>
    <row r="184" spans="2:5">
      <c r="B184" s="762"/>
      <c r="C184" s="762"/>
      <c r="D184" s="762"/>
      <c r="E184" s="762"/>
    </row>
    <row r="185" spans="2:5">
      <c r="B185" s="995" t="s">
        <v>1639</v>
      </c>
      <c r="C185" s="1083"/>
      <c r="D185" s="997"/>
      <c r="E185" s="998"/>
    </row>
    <row r="186" spans="2:5">
      <c r="B186" s="985" t="s">
        <v>1685</v>
      </c>
      <c r="C186" s="978"/>
      <c r="D186" s="979"/>
      <c r="E186" s="981" t="str">
        <f>IF($C161="No",_xlfn.CONCAT("Contracted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187" spans="2:5">
      <c r="B187" s="762"/>
      <c r="C187" s="762"/>
      <c r="D187" s="762"/>
      <c r="E187" s="762"/>
    </row>
    <row r="188" spans="2:5">
      <c r="B188" s="995" t="s">
        <v>1682</v>
      </c>
      <c r="C188" s="1083"/>
      <c r="D188" s="997"/>
      <c r="E188" s="998"/>
    </row>
    <row r="189" spans="2:5" ht="30">
      <c r="B189" s="985" t="s">
        <v>1686</v>
      </c>
      <c r="C189" s="978"/>
      <c r="D189" s="979"/>
      <c r="E189" s="986"/>
    </row>
    <row r="191" spans="2:5" ht="263.25" customHeight="1">
      <c r="B191" s="983" t="s">
        <v>1695</v>
      </c>
      <c r="C191" s="984"/>
      <c r="D191" s="984"/>
      <c r="E191" s="984" t="s">
        <v>1736</v>
      </c>
    </row>
    <row r="192" spans="2:5" ht="30">
      <c r="B192" s="985" t="s">
        <v>1743</v>
      </c>
      <c r="C192" s="977"/>
      <c r="D192" s="979"/>
      <c r="E192" s="1003"/>
    </row>
    <row r="193" spans="2:5">
      <c r="B193" s="762"/>
      <c r="C193" s="762"/>
      <c r="D193" s="762"/>
      <c r="E193" s="762"/>
    </row>
    <row r="194" spans="2:5" ht="30">
      <c r="B194" s="993" t="str">
        <f>_xlfn.CONCAT("Enter any one-time costs for ","'",$B191,"'"," attributable to this implementation.")</f>
        <v>Enter any one-time costs for 'System monitoring' attributable to this implementation.</v>
      </c>
      <c r="C194" s="1082"/>
      <c r="D194" s="1082"/>
      <c r="E194" s="992" t="str">
        <f>IF($C192="No","Consider if there are any one-time activities during the 'Development' and/or 'Deployment' phases of implementation.","")</f>
        <v/>
      </c>
    </row>
    <row r="195" spans="2:5">
      <c r="B195" s="995" t="s">
        <v>1638</v>
      </c>
      <c r="C195" s="1083"/>
      <c r="D195" s="997"/>
      <c r="E195" s="998"/>
    </row>
    <row r="196" spans="2:5" ht="30">
      <c r="B196" s="985" t="str">
        <f>_xlfn.CONCAT("Enter the daily rate for a single staff worker working on ","'",B191,".'")</f>
        <v>Enter the daily rate for a single staff worker working on 'System monitoring.'</v>
      </c>
      <c r="C196" s="978"/>
      <c r="D196" s="979"/>
      <c r="E196" s="1017" t="str">
        <f>IF($C192="No",_xlfn.CONCAT("If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197" spans="2:5" ht="30">
      <c r="B197" s="985" t="str">
        <f>_xlfn.CONCAT("Enter the level of effort (number of days) needed to complete ","'",B191,".'")</f>
        <v>Enter the level of effort (number of days) needed to complete 'System monitoring.'</v>
      </c>
      <c r="C197" s="978"/>
      <c r="D197" s="979"/>
      <c r="E197" s="1017"/>
    </row>
    <row r="198" spans="2:5">
      <c r="B198" s="762"/>
      <c r="C198" s="762"/>
      <c r="D198" s="762"/>
      <c r="E198" s="762"/>
    </row>
    <row r="199" spans="2:5">
      <c r="B199" s="995" t="s">
        <v>291</v>
      </c>
      <c r="C199" s="1083"/>
      <c r="D199" s="997"/>
      <c r="E199" s="998"/>
    </row>
    <row r="200" spans="2:5">
      <c r="B200" s="985" t="s">
        <v>1683</v>
      </c>
      <c r="C200" s="978"/>
      <c r="D200" s="979"/>
      <c r="E200" s="981" t="str">
        <f>IF($C192="No",_xlfn.CONCAT("If multiple software licenses are required, use the 'Software' table on the 'Calculator' tab to sum the cost for all software licenses. Paste the values from 'Total cost' here."),"")</f>
        <v/>
      </c>
    </row>
    <row r="201" spans="2:5">
      <c r="B201" s="762"/>
      <c r="C201" s="762"/>
      <c r="D201" s="762"/>
      <c r="E201" s="762"/>
    </row>
    <row r="202" spans="2:5">
      <c r="B202" s="995" t="s">
        <v>1639</v>
      </c>
      <c r="C202" s="1083"/>
      <c r="D202" s="997"/>
      <c r="E202" s="998"/>
    </row>
    <row r="203" spans="2:5">
      <c r="B203" s="985" t="s">
        <v>1765</v>
      </c>
      <c r="C203" s="978"/>
      <c r="D203" s="979"/>
      <c r="E203" s="986" t="str">
        <f>IF($C192="No",_xlfn.CONCAT("Contracted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204" spans="2:5">
      <c r="B204" s="762"/>
      <c r="C204" s="762"/>
      <c r="D204" s="762"/>
      <c r="E204" s="762"/>
    </row>
    <row r="205" spans="2:5">
      <c r="B205" s="995" t="s">
        <v>1682</v>
      </c>
      <c r="C205" s="1083"/>
      <c r="D205" s="997"/>
      <c r="E205" s="998"/>
    </row>
    <row r="206" spans="2:5" ht="30">
      <c r="B206" s="985" t="s">
        <v>1687</v>
      </c>
      <c r="C206" s="978"/>
      <c r="D206" s="979"/>
      <c r="E206" s="986"/>
    </row>
    <row r="207" spans="2:5">
      <c r="B207" s="762"/>
      <c r="C207" s="762"/>
      <c r="D207" s="762"/>
      <c r="E207" s="762"/>
    </row>
    <row r="208" spans="2:5" ht="30">
      <c r="B208" s="993" t="str">
        <f>_xlfn.CONCAT("Enter the annual recurring costs for ","'",$B191,"'"," attributable to this implementation.")</f>
        <v>Enter the annual recurring costs for 'System monitoring' attributable to this implementation.</v>
      </c>
      <c r="C208" s="1082"/>
      <c r="D208" s="1082" t="str">
        <f>IF($C192="No","","")</f>
        <v/>
      </c>
      <c r="E208" s="992" t="str">
        <f>IF($C192="No",_xlfn.CONCAT("Consider which activities are intended to be repeated multiple times throughout all phases of implementation."),"")</f>
        <v/>
      </c>
    </row>
    <row r="209" spans="2:5">
      <c r="B209" s="995" t="s">
        <v>1638</v>
      </c>
      <c r="C209" s="1083"/>
      <c r="D209" s="997"/>
      <c r="E209" s="998"/>
    </row>
    <row r="210" spans="2:5" ht="30">
      <c r="B210" s="985" t="str">
        <f>_xlfn.CONCAT("Enter the daily rate for a single staff worker working on ","'",B191,".'")</f>
        <v>Enter the daily rate for a single staff worker working on 'System monitoring.'</v>
      </c>
      <c r="C210" s="978"/>
      <c r="D210" s="979"/>
      <c r="E210" s="1017" t="str">
        <f>IF($C192="No",_xlfn.CONCAT("If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211" spans="2:5" ht="30">
      <c r="B211" s="985" t="str">
        <f>_xlfn.CONCAT("Enter the level of effort (number of days) needed to complete ","'",B191,"' on an annual basis.")</f>
        <v>Enter the level of effort (number of days) needed to complete 'System monitoring' on an annual basis.</v>
      </c>
      <c r="C211" s="978"/>
      <c r="D211" s="979"/>
      <c r="E211" s="1017"/>
    </row>
    <row r="212" spans="2:5">
      <c r="B212" s="762"/>
      <c r="C212" s="762"/>
      <c r="D212" s="762"/>
      <c r="E212" s="762"/>
    </row>
    <row r="213" spans="2:5">
      <c r="B213" s="995" t="s">
        <v>291</v>
      </c>
      <c r="C213" s="1083"/>
      <c r="D213" s="997"/>
      <c r="E213" s="998"/>
    </row>
    <row r="214" spans="2:5">
      <c r="B214" s="985" t="s">
        <v>1684</v>
      </c>
      <c r="C214" s="978"/>
      <c r="D214" s="979"/>
      <c r="E214" s="981" t="str">
        <f>IF($C192="No",_xlfn.CONCAT("If multiple software licenses are required, use the 'Software' table on the 'Calculator' tab to sum the cost for all software licenses. Paste the values from 'Cost per user (weighted)' and 'Sites or users' here."),"")</f>
        <v/>
      </c>
    </row>
    <row r="215" spans="2:5">
      <c r="B215" s="762"/>
      <c r="C215" s="762"/>
      <c r="D215" s="762"/>
      <c r="E215" s="762"/>
    </row>
    <row r="216" spans="2:5">
      <c r="B216" s="995" t="s">
        <v>1639</v>
      </c>
      <c r="C216" s="1083"/>
      <c r="D216" s="997"/>
      <c r="E216" s="998"/>
    </row>
    <row r="217" spans="2:5">
      <c r="B217" s="985" t="s">
        <v>1685</v>
      </c>
      <c r="C217" s="978"/>
      <c r="D217" s="979"/>
      <c r="E217" s="981" t="str">
        <f>IF($C192="No",_xlfn.CONCAT("Contracted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218" spans="2:5">
      <c r="B218" s="762"/>
      <c r="C218" s="762"/>
      <c r="D218" s="762"/>
      <c r="E218" s="762"/>
    </row>
    <row r="219" spans="2:5">
      <c r="B219" s="995" t="s">
        <v>1682</v>
      </c>
      <c r="C219" s="1083"/>
      <c r="D219" s="997"/>
      <c r="E219" s="998"/>
    </row>
    <row r="220" spans="2:5" ht="30">
      <c r="B220" s="985" t="s">
        <v>1686</v>
      </c>
      <c r="C220" s="978"/>
      <c r="D220" s="979"/>
      <c r="E220" s="986"/>
    </row>
    <row r="222" spans="2:5" ht="347.25" customHeight="1">
      <c r="B222" s="983" t="s">
        <v>1696</v>
      </c>
      <c r="C222" s="984"/>
      <c r="D222" s="984"/>
      <c r="E222" s="984" t="s">
        <v>1705</v>
      </c>
    </row>
    <row r="223" spans="2:5">
      <c r="B223" s="985" t="s">
        <v>1744</v>
      </c>
      <c r="C223" s="977"/>
      <c r="D223" s="979"/>
      <c r="E223" s="1003"/>
    </row>
    <row r="224" spans="2:5">
      <c r="B224" s="762"/>
      <c r="C224" s="762"/>
      <c r="D224" s="762"/>
      <c r="E224" s="762"/>
    </row>
    <row r="225" spans="2:5" ht="30">
      <c r="B225" s="993" t="str">
        <f>_xlfn.CONCAT("Enter any one-time costs for ","'",$B222,"'"," attributable to this implementation.")</f>
        <v>Enter any one-time costs for 'Physical security' attributable to this implementation.</v>
      </c>
      <c r="C225" s="1082"/>
      <c r="D225" s="1082"/>
      <c r="E225" s="992" t="str">
        <f>IF($C223="No","Consider if there are any one-time activities during the 'Development' and/or 'Deployment' phases of implementation.","")</f>
        <v/>
      </c>
    </row>
    <row r="226" spans="2:5">
      <c r="B226" s="995" t="s">
        <v>1638</v>
      </c>
      <c r="C226" s="1083"/>
      <c r="D226" s="997"/>
      <c r="E226" s="998"/>
    </row>
    <row r="227" spans="2:5">
      <c r="B227" s="985" t="str">
        <f>_xlfn.CONCAT("Enter the daily rate for a single staff worker working on ","'",B222,".'")</f>
        <v>Enter the daily rate for a single staff worker working on 'Physical security.'</v>
      </c>
      <c r="C227" s="978"/>
      <c r="D227" s="979"/>
      <c r="E227" s="1017" t="str">
        <f>IF($C223="No",_xlfn.CONCAT("If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228" spans="2:5" ht="30">
      <c r="B228" s="985" t="str">
        <f>_xlfn.CONCAT("Enter the level of effort (number of days) needed to complete ","'",B222,".'")</f>
        <v>Enter the level of effort (number of days) needed to complete 'Physical security.'</v>
      </c>
      <c r="C228" s="978"/>
      <c r="D228" s="979"/>
      <c r="E228" s="1017"/>
    </row>
    <row r="229" spans="2:5">
      <c r="B229" s="762"/>
      <c r="C229" s="762"/>
      <c r="D229" s="762"/>
      <c r="E229" s="762"/>
    </row>
    <row r="230" spans="2:5">
      <c r="B230" s="995" t="s">
        <v>5</v>
      </c>
      <c r="C230" s="1083"/>
      <c r="D230" s="997"/>
      <c r="E230" s="998" t="str">
        <f>IF($C223="No",_xlfn.CONCAT("Enter the cost of any equipment needed for this activity within the 'Deployment costs' tab as 'Any other equipment' under the 'Equipment' section."),"")</f>
        <v/>
      </c>
    </row>
    <row r="231" spans="2:5">
      <c r="B231" s="985"/>
      <c r="C231" s="1084"/>
      <c r="D231" s="1000"/>
      <c r="E231" s="982"/>
    </row>
    <row r="232" spans="2:5">
      <c r="B232" s="995" t="s">
        <v>1639</v>
      </c>
      <c r="C232" s="1083"/>
      <c r="D232" s="997"/>
      <c r="E232" s="998"/>
    </row>
    <row r="233" spans="2:5">
      <c r="B233" s="985" t="s">
        <v>1765</v>
      </c>
      <c r="C233" s="978"/>
      <c r="D233" s="979"/>
      <c r="E233" s="986" t="str">
        <f>IF($C223="No",_xlfn.CONCAT("Contracted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234" spans="2:5">
      <c r="B234" s="762"/>
      <c r="C234" s="762"/>
      <c r="D234" s="762"/>
      <c r="E234" s="762"/>
    </row>
    <row r="235" spans="2:5">
      <c r="B235" s="995" t="s">
        <v>1682</v>
      </c>
      <c r="C235" s="1083"/>
      <c r="D235" s="997"/>
      <c r="E235" s="998"/>
    </row>
    <row r="236" spans="2:5" ht="30">
      <c r="B236" s="985" t="s">
        <v>1687</v>
      </c>
      <c r="C236" s="978"/>
      <c r="D236" s="979"/>
      <c r="E236" s="986"/>
    </row>
    <row r="237" spans="2:5">
      <c r="B237" s="762"/>
      <c r="C237" s="762"/>
      <c r="D237" s="762"/>
      <c r="E237" s="762"/>
    </row>
    <row r="238" spans="2:5" ht="30">
      <c r="B238" s="993" t="str">
        <f>_xlfn.CONCAT("Enter the annual recurring costs for ","'",$B222,"'"," attributable to this implementation.")</f>
        <v>Enter the annual recurring costs for 'Physical security' attributable to this implementation.</v>
      </c>
      <c r="C238" s="1082"/>
      <c r="D238" s="1082" t="str">
        <f>IF($C223="No","","")</f>
        <v/>
      </c>
      <c r="E238" s="992" t="str">
        <f>IF($C223="No",_xlfn.CONCAT("Consider which activities are intended to be repeated multiple times throughout all phases of implementation."),"")</f>
        <v/>
      </c>
    </row>
    <row r="239" spans="2:5">
      <c r="B239" s="995" t="s">
        <v>1638</v>
      </c>
      <c r="C239" s="1083"/>
      <c r="D239" s="997"/>
      <c r="E239" s="998"/>
    </row>
    <row r="240" spans="2:5">
      <c r="B240" s="985" t="str">
        <f>_xlfn.CONCAT("Enter the daily rate for a single staff worker working on ","'",B222,".'")</f>
        <v>Enter the daily rate for a single staff worker working on 'Physical security.'</v>
      </c>
      <c r="C240" s="978"/>
      <c r="D240" s="979"/>
      <c r="E240" s="1017" t="str">
        <f>IF($C223="No",_xlfn.CONCAT("If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241" spans="2:5" ht="30">
      <c r="B241" s="985" t="str">
        <f>_xlfn.CONCAT("Enter the level of effort (number of days) needed to complete ","'",B222,"' on an annual basis.")</f>
        <v>Enter the level of effort (number of days) needed to complete 'Physical security' on an annual basis.</v>
      </c>
      <c r="C241" s="978"/>
      <c r="D241" s="979"/>
      <c r="E241" s="1017"/>
    </row>
    <row r="242" spans="2:5">
      <c r="B242" s="762"/>
      <c r="C242" s="762"/>
      <c r="D242" s="762"/>
      <c r="E242" s="762"/>
    </row>
    <row r="243" spans="2:5">
      <c r="B243" s="995" t="s">
        <v>5</v>
      </c>
      <c r="C243" s="1083"/>
      <c r="D243" s="997"/>
      <c r="E243" s="998" t="str">
        <f>IF($C223="No",_xlfn.CONCAT("Enter the cost of any equipment needed for this activity within the 'Deployment costs' tab as 'Any other equipment' under the 'Equipment' section", " and consider the annual replacement rate for this equipment within the 'Operations costs' tab under 'Equipment replacement.'"),"")</f>
        <v/>
      </c>
    </row>
    <row r="244" spans="2:5">
      <c r="B244" s="985"/>
      <c r="C244" s="1084"/>
      <c r="D244" s="1000"/>
      <c r="E244" s="982"/>
    </row>
    <row r="245" spans="2:5">
      <c r="B245" s="995" t="s">
        <v>1639</v>
      </c>
      <c r="C245" s="1083"/>
      <c r="D245" s="997"/>
      <c r="E245" s="998"/>
    </row>
    <row r="246" spans="2:5">
      <c r="B246" s="985" t="s">
        <v>1685</v>
      </c>
      <c r="C246" s="978"/>
      <c r="D246" s="979"/>
      <c r="E246" s="981" t="str">
        <f>IF($C223="No",_xlfn.CONCAT("Contracted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247" spans="2:5">
      <c r="B247" s="762"/>
      <c r="C247" s="762"/>
      <c r="D247" s="762"/>
      <c r="E247" s="762"/>
    </row>
    <row r="248" spans="2:5">
      <c r="B248" s="995" t="s">
        <v>1682</v>
      </c>
      <c r="C248" s="1083"/>
      <c r="D248" s="997"/>
      <c r="E248" s="998"/>
    </row>
    <row r="249" spans="2:5" ht="30">
      <c r="B249" s="985" t="s">
        <v>1686</v>
      </c>
      <c r="C249" s="978"/>
      <c r="D249" s="979"/>
      <c r="E249" s="986"/>
    </row>
    <row r="251" spans="2:5" ht="135" customHeight="1">
      <c r="B251" s="983" t="s">
        <v>1697</v>
      </c>
      <c r="C251" s="984"/>
      <c r="D251" s="984"/>
      <c r="E251" s="826" t="s">
        <v>1706</v>
      </c>
    </row>
    <row r="252" spans="2:5" ht="30">
      <c r="B252" s="985" t="s">
        <v>1745</v>
      </c>
      <c r="C252" s="977"/>
      <c r="D252" s="979"/>
      <c r="E252" s="1003"/>
    </row>
    <row r="253" spans="2:5">
      <c r="B253" s="762"/>
      <c r="C253" s="762"/>
      <c r="D253" s="762"/>
      <c r="E253" s="762"/>
    </row>
    <row r="254" spans="2:5" ht="30">
      <c r="B254" s="993" t="str">
        <f>_xlfn.CONCAT("Enter any one-time costs for ","'",$B251,"'"," attributable to this implementation.")</f>
        <v>Enter any one-time costs for 'Device management and disposal' attributable to this implementation.</v>
      </c>
      <c r="C254" s="1082"/>
      <c r="D254" s="1082"/>
      <c r="E254" s="992" t="str">
        <f>IF($C252="No","Consider if there are any one-time activities during the 'Development' and/or 'Deployment' phases of implementation.","")</f>
        <v/>
      </c>
    </row>
    <row r="255" spans="2:5">
      <c r="B255" s="995" t="s">
        <v>1638</v>
      </c>
      <c r="C255" s="1083"/>
      <c r="D255" s="997"/>
      <c r="E255" s="998"/>
    </row>
    <row r="256" spans="2:5" ht="30">
      <c r="B256" s="985" t="str">
        <f>_xlfn.CONCAT("Enter the daily rate for a single staff worker working on ","'",B251,".'")</f>
        <v>Enter the daily rate for a single staff worker working on 'Device management and disposal.'</v>
      </c>
      <c r="C256" s="978"/>
      <c r="D256" s="979"/>
      <c r="E256" s="1017" t="str">
        <f>IF($C252="No",_xlfn.CONCAT("If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257" spans="2:5" ht="30">
      <c r="B257" s="985" t="str">
        <f>_xlfn.CONCAT("Enter the level of effort (number of days) needed to complete ","'",B251,".'")</f>
        <v>Enter the level of effort (number of days) needed to complete 'Device management and disposal.'</v>
      </c>
      <c r="C257" s="978"/>
      <c r="D257" s="979"/>
      <c r="E257" s="1017"/>
    </row>
    <row r="258" spans="2:5">
      <c r="B258" s="762"/>
      <c r="C258" s="762"/>
      <c r="D258" s="762"/>
      <c r="E258" s="762"/>
    </row>
    <row r="259" spans="2:5">
      <c r="B259" s="995" t="s">
        <v>5</v>
      </c>
      <c r="C259" s="1083"/>
      <c r="D259" s="997"/>
      <c r="E259" s="998" t="str">
        <f>IF($C252="No",_xlfn.CONCAT("Enter the cost of any equipment needed for this activity within the 'Deployment costs' tab as 'Any other equipment' under the 'Equipment' section."),"")</f>
        <v/>
      </c>
    </row>
    <row r="260" spans="2:5">
      <c r="B260" s="985"/>
      <c r="C260" s="1084"/>
      <c r="D260" s="1000"/>
      <c r="E260" s="982"/>
    </row>
    <row r="261" spans="2:5">
      <c r="B261" s="995" t="s">
        <v>1639</v>
      </c>
      <c r="C261" s="1083"/>
      <c r="D261" s="997"/>
      <c r="E261" s="998"/>
    </row>
    <row r="262" spans="2:5">
      <c r="B262" s="985" t="s">
        <v>1765</v>
      </c>
      <c r="C262" s="978"/>
      <c r="D262" s="979"/>
      <c r="E262" s="986" t="str">
        <f>IF($C252="No",_xlfn.CONCAT("Contracted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263" spans="2:5">
      <c r="B263" s="762"/>
      <c r="C263" s="762"/>
      <c r="D263" s="762"/>
      <c r="E263" s="762"/>
    </row>
    <row r="264" spans="2:5">
      <c r="B264" s="995" t="s">
        <v>1682</v>
      </c>
      <c r="C264" s="1083"/>
      <c r="D264" s="997"/>
      <c r="E264" s="998"/>
    </row>
    <row r="265" spans="2:5" ht="30">
      <c r="B265" s="985" t="s">
        <v>1687</v>
      </c>
      <c r="C265" s="978"/>
      <c r="D265" s="979"/>
      <c r="E265" s="986"/>
    </row>
    <row r="266" spans="2:5">
      <c r="B266" s="762"/>
      <c r="C266" s="762"/>
      <c r="D266" s="762"/>
      <c r="E266" s="762"/>
    </row>
    <row r="267" spans="2:5" ht="30">
      <c r="B267" s="993" t="str">
        <f>_xlfn.CONCAT("Enter the annual recurring costs for ","'",$B251,"'"," attributable to this implementation.")</f>
        <v>Enter the annual recurring costs for 'Device management and disposal' attributable to this implementation.</v>
      </c>
      <c r="C267" s="1082"/>
      <c r="D267" s="1082" t="str">
        <f>IF($C252="No","","")</f>
        <v/>
      </c>
      <c r="E267" s="992" t="str">
        <f>IF($C252="No",_xlfn.CONCAT("Consider which activities are intended to be repeated multiple times throughout all phases of implementation."),"")</f>
        <v/>
      </c>
    </row>
    <row r="268" spans="2:5">
      <c r="B268" s="995" t="s">
        <v>1638</v>
      </c>
      <c r="C268" s="1083"/>
      <c r="D268" s="997"/>
      <c r="E268" s="998"/>
    </row>
    <row r="269" spans="2:5" ht="30">
      <c r="B269" s="985" t="str">
        <f>_xlfn.CONCAT("Enter the daily rate for a single staff worker working on ","'",B251,".'")</f>
        <v>Enter the daily rate for a single staff worker working on 'Device management and disposal.'</v>
      </c>
      <c r="C269" s="978"/>
      <c r="D269" s="979"/>
      <c r="E269" s="1017" t="str">
        <f>IF($C252="No",_xlfn.CONCAT("If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270" spans="2:5" ht="30">
      <c r="B270" s="985" t="str">
        <f>_xlfn.CONCAT("Enter the level of effort (number of days) needed to complete ","'",B251,"' on an annual basis.")</f>
        <v>Enter the level of effort (number of days) needed to complete 'Device management and disposal' on an annual basis.</v>
      </c>
      <c r="C270" s="978"/>
      <c r="D270" s="979"/>
      <c r="E270" s="1017"/>
    </row>
    <row r="271" spans="2:5">
      <c r="B271" s="762"/>
      <c r="C271" s="762"/>
      <c r="D271" s="762"/>
      <c r="E271" s="762"/>
    </row>
    <row r="272" spans="2:5">
      <c r="B272" s="995" t="s">
        <v>5</v>
      </c>
      <c r="C272" s="1083"/>
      <c r="D272" s="997"/>
      <c r="E272" s="998" t="str">
        <f>IF($C252="No",_xlfn.CONCAT("Enter the cost of any equipment needed for this activity within the 'Deployment costs' tab as 'Any other equipment' under the 'Equipment' section", " and consider the annual replacement rate for this equipment within the 'Operations costs' tab under 'Equipment replacement.'"),"")</f>
        <v/>
      </c>
    </row>
    <row r="273" spans="2:5">
      <c r="B273" s="985"/>
      <c r="C273" s="1084"/>
      <c r="D273" s="1000"/>
      <c r="E273" s="982"/>
    </row>
    <row r="274" spans="2:5">
      <c r="B274" s="995" t="s">
        <v>1639</v>
      </c>
      <c r="C274" s="1083"/>
      <c r="D274" s="997"/>
      <c r="E274" s="998"/>
    </row>
    <row r="275" spans="2:5">
      <c r="B275" s="985" t="s">
        <v>1685</v>
      </c>
      <c r="C275" s="978"/>
      <c r="D275" s="979"/>
      <c r="E275" s="981" t="str">
        <f>IF($C252="No",_xlfn.CONCAT("Contracted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276" spans="2:5">
      <c r="B276" s="762"/>
      <c r="C276" s="762"/>
      <c r="D276" s="762"/>
      <c r="E276" s="762"/>
    </row>
    <row r="277" spans="2:5">
      <c r="B277" s="995" t="s">
        <v>1682</v>
      </c>
      <c r="C277" s="1083"/>
      <c r="D277" s="997"/>
      <c r="E277" s="998"/>
    </row>
    <row r="278" spans="2:5" ht="30">
      <c r="B278" s="985" t="s">
        <v>1686</v>
      </c>
      <c r="C278" s="978"/>
      <c r="D278" s="979"/>
      <c r="E278" s="986"/>
    </row>
    <row r="280" spans="2:5" ht="195">
      <c r="B280" s="983" t="s">
        <v>1698</v>
      </c>
      <c r="C280" s="984"/>
      <c r="D280" s="984"/>
      <c r="E280" s="826" t="s">
        <v>1707</v>
      </c>
    </row>
    <row r="281" spans="2:5">
      <c r="B281" s="985" t="s">
        <v>1746</v>
      </c>
      <c r="C281" s="977"/>
      <c r="D281" s="979"/>
      <c r="E281" s="1003"/>
    </row>
    <row r="282" spans="2:5">
      <c r="B282" s="762"/>
      <c r="C282" s="762"/>
      <c r="D282" s="762"/>
      <c r="E282" s="762"/>
    </row>
    <row r="283" spans="2:5" ht="30">
      <c r="B283" s="993" t="str">
        <f>_xlfn.CONCAT("Enter any one-time costs for ","'",$B280,"'"," attributable to this implementation.")</f>
        <v>Enter any one-time costs for 'Audits and testing' attributable to this implementation.</v>
      </c>
      <c r="C283" s="1082"/>
      <c r="D283" s="1082"/>
      <c r="E283" s="992" t="str">
        <f>IF($C281="No","Consider if there are any one-time activities during the 'Development' and/or 'Deployment' phases of implementation.","")</f>
        <v/>
      </c>
    </row>
    <row r="284" spans="2:5">
      <c r="B284" s="995" t="s">
        <v>1638</v>
      </c>
      <c r="C284" s="1083"/>
      <c r="D284" s="997"/>
      <c r="E284" s="998"/>
    </row>
    <row r="285" spans="2:5" ht="30">
      <c r="B285" s="985" t="str">
        <f>_xlfn.CONCAT("Enter the daily rate for a single staff worker working on ","'",B280,".'")</f>
        <v>Enter the daily rate for a single staff worker working on 'Audits and testing.'</v>
      </c>
      <c r="C285" s="978"/>
      <c r="D285" s="979"/>
      <c r="E285" s="1017" t="str">
        <f>IF($C281="No",_xlfn.CONCAT("If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286" spans="2:5" ht="30">
      <c r="B286" s="985" t="str">
        <f>_xlfn.CONCAT("Enter the level of effort (number of days) needed to complete ","'",B280,".'")</f>
        <v>Enter the level of effort (number of days) needed to complete 'Audits and testing.'</v>
      </c>
      <c r="C286" s="978"/>
      <c r="D286" s="979"/>
      <c r="E286" s="1017"/>
    </row>
    <row r="287" spans="2:5">
      <c r="B287" s="762"/>
      <c r="C287" s="762"/>
      <c r="D287" s="762"/>
      <c r="E287" s="762"/>
    </row>
    <row r="288" spans="2:5">
      <c r="B288" s="995" t="s">
        <v>1639</v>
      </c>
      <c r="C288" s="1083"/>
      <c r="D288" s="997"/>
      <c r="E288" s="998"/>
    </row>
    <row r="289" spans="2:5">
      <c r="B289" s="985" t="s">
        <v>1765</v>
      </c>
      <c r="C289" s="978"/>
      <c r="D289" s="979"/>
      <c r="E289" s="986" t="str">
        <f>IF($C281="No",_xlfn.CONCAT("Contracted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290" spans="2:5">
      <c r="B290" s="762"/>
      <c r="C290" s="762"/>
      <c r="D290" s="762"/>
      <c r="E290" s="762"/>
    </row>
    <row r="291" spans="2:5">
      <c r="B291" s="995" t="s">
        <v>1682</v>
      </c>
      <c r="C291" s="1083"/>
      <c r="D291" s="997"/>
      <c r="E291" s="998"/>
    </row>
    <row r="292" spans="2:5" ht="30">
      <c r="B292" s="985" t="s">
        <v>1687</v>
      </c>
      <c r="C292" s="978"/>
      <c r="D292" s="979"/>
      <c r="E292" s="986"/>
    </row>
    <row r="293" spans="2:5">
      <c r="B293" s="762"/>
      <c r="C293" s="762"/>
      <c r="D293" s="762"/>
      <c r="E293" s="762"/>
    </row>
    <row r="294" spans="2:5" ht="30">
      <c r="B294" s="993" t="str">
        <f>_xlfn.CONCAT("Enter the annual recurring costs for ","'",$B280,"'"," attributable to this implementation.")</f>
        <v>Enter the annual recurring costs for 'Audits and testing' attributable to this implementation.</v>
      </c>
      <c r="C294" s="1082"/>
      <c r="D294" s="1082" t="str">
        <f>IF($C281="No","","")</f>
        <v/>
      </c>
      <c r="E294" s="992" t="str">
        <f>IF($C281="No",_xlfn.CONCAT("Consider which activities are intended to be repeated multiple times throughout all phases of implementation."),"")</f>
        <v/>
      </c>
    </row>
    <row r="295" spans="2:5">
      <c r="B295" s="995" t="s">
        <v>1638</v>
      </c>
      <c r="C295" s="1083"/>
      <c r="D295" s="997"/>
      <c r="E295" s="998"/>
    </row>
    <row r="296" spans="2:5" ht="30">
      <c r="B296" s="985" t="str">
        <f>_xlfn.CONCAT("Enter the daily rate for a single staff worker working on ","'",B280,".'")</f>
        <v>Enter the daily rate for a single staff worker working on 'Audits and testing.'</v>
      </c>
      <c r="C296" s="978"/>
      <c r="D296" s="979"/>
      <c r="E296" s="1017" t="str">
        <f>IF($C281="No",_xlfn.CONCAT("If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297" spans="2:5" ht="30">
      <c r="B297" s="985" t="str">
        <f>_xlfn.CONCAT("Enter the level of effort (number of days) needed to complete ","'",B280,"' on an annual basis.")</f>
        <v>Enter the level of effort (number of days) needed to complete 'Audits and testing' on an annual basis.</v>
      </c>
      <c r="C297" s="978"/>
      <c r="D297" s="979"/>
      <c r="E297" s="1017"/>
    </row>
    <row r="298" spans="2:5">
      <c r="B298" s="762"/>
      <c r="C298" s="762"/>
      <c r="D298" s="762"/>
      <c r="E298" s="762"/>
    </row>
    <row r="299" spans="2:5">
      <c r="B299" s="995" t="s">
        <v>1639</v>
      </c>
      <c r="C299" s="1083"/>
      <c r="D299" s="997"/>
      <c r="E299" s="998"/>
    </row>
    <row r="300" spans="2:5">
      <c r="B300" s="985" t="s">
        <v>1685</v>
      </c>
      <c r="C300" s="978"/>
      <c r="D300" s="979"/>
      <c r="E300" s="981" t="str">
        <f>IF($C281="No",_xlfn.CONCAT("Contracted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301" spans="2:5">
      <c r="B301" s="762"/>
      <c r="C301" s="762"/>
      <c r="D301" s="762"/>
      <c r="E301" s="762"/>
    </row>
    <row r="302" spans="2:5">
      <c r="B302" s="995" t="s">
        <v>1682</v>
      </c>
      <c r="C302" s="1083"/>
      <c r="D302" s="997"/>
      <c r="E302" s="998"/>
    </row>
    <row r="303" spans="2:5" ht="30">
      <c r="B303" s="985" t="s">
        <v>1686</v>
      </c>
      <c r="C303" s="978"/>
      <c r="D303" s="979"/>
      <c r="E303" s="986"/>
    </row>
    <row r="305" spans="2:5" ht="256.5" customHeight="1">
      <c r="B305" s="983" t="s">
        <v>1700</v>
      </c>
      <c r="C305" s="984"/>
      <c r="D305" s="984"/>
      <c r="E305" s="826" t="s">
        <v>1771</v>
      </c>
    </row>
    <row r="306" spans="2:5" ht="30">
      <c r="B306" s="985" t="s">
        <v>1747</v>
      </c>
      <c r="C306" s="977"/>
      <c r="D306" s="979"/>
      <c r="E306" s="1003"/>
    </row>
    <row r="307" spans="2:5">
      <c r="B307" s="762"/>
      <c r="C307" s="762"/>
      <c r="D307" s="762"/>
      <c r="E307" s="762"/>
    </row>
    <row r="308" spans="2:5" ht="30">
      <c r="B308" s="993" t="str">
        <f>_xlfn.CONCAT("Enter any one-time costs for ","'",$B305,"'"," attributable to this implementation.")</f>
        <v>Enter any one-time costs for 'Configuration and updates' attributable to this implementation.</v>
      </c>
      <c r="C308" s="1082"/>
      <c r="D308" s="1082"/>
      <c r="E308" s="992" t="str">
        <f>IF($C306="No","Consider if there are any one-time activities during the 'Development' and/or 'Deployment' phases of implementation.","")</f>
        <v/>
      </c>
    </row>
    <row r="309" spans="2:5">
      <c r="B309" s="995" t="s">
        <v>1638</v>
      </c>
      <c r="C309" s="1083"/>
      <c r="D309" s="997"/>
      <c r="E309" s="998"/>
    </row>
    <row r="310" spans="2:5" ht="30">
      <c r="B310" s="985" t="str">
        <f>_xlfn.CONCAT("Enter the daily rate for a single staff worker working on ","'",B305,".'")</f>
        <v>Enter the daily rate for a single staff worker working on 'Configuration and updates.'</v>
      </c>
      <c r="C310" s="978"/>
      <c r="D310" s="979"/>
      <c r="E310" s="1017" t="str">
        <f>IF($C306="No",_xlfn.CONCAT("If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311" spans="2:5" ht="30">
      <c r="B311" s="985" t="str">
        <f>_xlfn.CONCAT("Enter the level of effort (number of days) needed to complete ","'",B305,".'")</f>
        <v>Enter the level of effort (number of days) needed to complete 'Configuration and updates.'</v>
      </c>
      <c r="C311" s="978"/>
      <c r="D311" s="979"/>
      <c r="E311" s="1017"/>
    </row>
    <row r="312" spans="2:5">
      <c r="B312" s="762"/>
      <c r="C312" s="762"/>
      <c r="D312" s="762"/>
      <c r="E312" s="762"/>
    </row>
    <row r="313" spans="2:5">
      <c r="B313" s="995" t="s">
        <v>291</v>
      </c>
      <c r="C313" s="1083"/>
      <c r="D313" s="997"/>
      <c r="E313" s="998"/>
    </row>
    <row r="314" spans="2:5">
      <c r="B314" s="985" t="s">
        <v>1683</v>
      </c>
      <c r="C314" s="978"/>
      <c r="D314" s="979"/>
      <c r="E314" s="981" t="str">
        <f>IF($C306="No",_xlfn.CONCAT("If multiple software licenses are required, use the 'Software' table on the 'Calculator' tab to sum the cost for all software licenses. Paste the values from 'Total cost' here."),"")</f>
        <v/>
      </c>
    </row>
    <row r="315" spans="2:5">
      <c r="B315" s="762"/>
      <c r="C315" s="762"/>
      <c r="D315" s="762"/>
      <c r="E315" s="762"/>
    </row>
    <row r="316" spans="2:5">
      <c r="B316" s="995" t="s">
        <v>1639</v>
      </c>
      <c r="C316" s="1083"/>
      <c r="D316" s="997"/>
      <c r="E316" s="998"/>
    </row>
    <row r="317" spans="2:5">
      <c r="B317" s="985" t="s">
        <v>1765</v>
      </c>
      <c r="C317" s="978"/>
      <c r="D317" s="979"/>
      <c r="E317" s="986" t="str">
        <f>IF($C306="No",_xlfn.CONCAT("Contracted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318" spans="2:5">
      <c r="B318" s="762"/>
      <c r="C318" s="762"/>
      <c r="D318" s="762"/>
      <c r="E318" s="762"/>
    </row>
    <row r="319" spans="2:5">
      <c r="B319" s="995" t="s">
        <v>1682</v>
      </c>
      <c r="C319" s="1083"/>
      <c r="D319" s="997"/>
      <c r="E319" s="998"/>
    </row>
    <row r="320" spans="2:5" ht="30">
      <c r="B320" s="985" t="s">
        <v>1687</v>
      </c>
      <c r="C320" s="978"/>
      <c r="D320" s="979"/>
      <c r="E320" s="986"/>
    </row>
    <row r="321" spans="2:5">
      <c r="B321" s="762"/>
      <c r="C321" s="762"/>
      <c r="D321" s="762"/>
      <c r="E321" s="762"/>
    </row>
    <row r="322" spans="2:5" ht="30">
      <c r="B322" s="993" t="str">
        <f>_xlfn.CONCAT("Enter the annual recurring costs for ","'",$B305,"'"," attributable to this implementation.")</f>
        <v>Enter the annual recurring costs for 'Configuration and updates' attributable to this implementation.</v>
      </c>
      <c r="C322" s="1082"/>
      <c r="D322" s="1082" t="str">
        <f>IF($C306="No","","")</f>
        <v/>
      </c>
      <c r="E322" s="992" t="str">
        <f>IF($C306="No",_xlfn.CONCAT("Consider which activities are intended to be repeated multiple times throughout all phases of implementation."),"")</f>
        <v/>
      </c>
    </row>
    <row r="323" spans="2:5">
      <c r="B323" s="995" t="s">
        <v>1638</v>
      </c>
      <c r="C323" s="1083"/>
      <c r="D323" s="997"/>
      <c r="E323" s="998"/>
    </row>
    <row r="324" spans="2:5" ht="30">
      <c r="B324" s="985" t="str">
        <f>_xlfn.CONCAT("Enter the daily rate for a single staff worker working on ","'",B305,".'")</f>
        <v>Enter the daily rate for a single staff worker working on 'Configuration and updates.'</v>
      </c>
      <c r="C324" s="978"/>
      <c r="D324" s="979"/>
      <c r="E324" s="1017" t="str">
        <f>IF($C306="No",_xlfn.CONCAT("If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325" spans="2:5" ht="30">
      <c r="B325" s="985" t="str">
        <f>_xlfn.CONCAT("Enter the level of effort (number of days) needed to complete ","'",B305,"' on an annual basis.")</f>
        <v>Enter the level of effort (number of days) needed to complete 'Configuration and updates' on an annual basis.</v>
      </c>
      <c r="C325" s="978"/>
      <c r="D325" s="979"/>
      <c r="E325" s="1017"/>
    </row>
    <row r="326" spans="2:5">
      <c r="B326" s="762"/>
      <c r="C326" s="762"/>
      <c r="D326" s="762"/>
      <c r="E326" s="762"/>
    </row>
    <row r="327" spans="2:5">
      <c r="B327" s="995" t="s">
        <v>291</v>
      </c>
      <c r="C327" s="1083"/>
      <c r="D327" s="997"/>
      <c r="E327" s="998"/>
    </row>
    <row r="328" spans="2:5">
      <c r="B328" s="985" t="s">
        <v>1684</v>
      </c>
      <c r="C328" s="978"/>
      <c r="D328" s="979"/>
      <c r="E328" s="981" t="str">
        <f>IF($C306="No",_xlfn.CONCAT("If multiple software licenses are required, use the 'Software' table on the 'Calculator' tab to sum the cost for all software licenses. Paste the values from 'Cost per user (weighted)' and 'Sites or users' here."),"")</f>
        <v/>
      </c>
    </row>
    <row r="329" spans="2:5">
      <c r="B329" s="762"/>
      <c r="C329" s="762"/>
      <c r="D329" s="762"/>
      <c r="E329" s="762"/>
    </row>
    <row r="330" spans="2:5">
      <c r="B330" s="995" t="s">
        <v>1639</v>
      </c>
      <c r="C330" s="1083"/>
      <c r="D330" s="997"/>
      <c r="E330" s="998"/>
    </row>
    <row r="331" spans="2:5">
      <c r="B331" s="985" t="s">
        <v>1685</v>
      </c>
      <c r="C331" s="978"/>
      <c r="D331" s="979"/>
      <c r="E331" s="981" t="str">
        <f>IF($C306="No",_xlfn.CONCAT("Contracted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332" spans="2:5">
      <c r="B332" s="762"/>
      <c r="C332" s="762"/>
      <c r="D332" s="762"/>
      <c r="E332" s="762"/>
    </row>
    <row r="333" spans="2:5">
      <c r="B333" s="995" t="s">
        <v>1682</v>
      </c>
      <c r="C333" s="1083"/>
      <c r="D333" s="997"/>
      <c r="E333" s="998"/>
    </row>
    <row r="334" spans="2:5" ht="30">
      <c r="B334" s="985" t="s">
        <v>1686</v>
      </c>
      <c r="C334" s="978"/>
      <c r="D334" s="979"/>
      <c r="E334" s="986"/>
    </row>
    <row r="336" spans="2:5" ht="264.75" customHeight="1">
      <c r="B336" s="983" t="s">
        <v>1701</v>
      </c>
      <c r="C336" s="984"/>
      <c r="D336" s="984"/>
      <c r="E336" s="984" t="s">
        <v>1708</v>
      </c>
    </row>
    <row r="337" spans="2:5" ht="30">
      <c r="B337" s="985" t="s">
        <v>1748</v>
      </c>
      <c r="C337" s="977"/>
      <c r="D337" s="979"/>
      <c r="E337" s="1003"/>
    </row>
    <row r="338" spans="2:5">
      <c r="B338" s="762"/>
      <c r="C338" s="762"/>
      <c r="D338" s="762"/>
      <c r="E338" s="762"/>
    </row>
    <row r="339" spans="2:5" ht="30">
      <c r="B339" s="993" t="str">
        <f>_xlfn.CONCAT("Enter any one-time costs for ","'",$B336,"'"," attributable to this implementation.")</f>
        <v>Enter any one-time costs for 'Network and transmission' attributable to this implementation.</v>
      </c>
      <c r="C339" s="1082"/>
      <c r="D339" s="1082"/>
      <c r="E339" s="992" t="str">
        <f>IF($C337="No","Consider if there are any one-time activities during the 'Development' and/or 'Deployment' phases of implementation.","")</f>
        <v/>
      </c>
    </row>
    <row r="340" spans="2:5">
      <c r="B340" s="995" t="s">
        <v>1638</v>
      </c>
      <c r="C340" s="1083"/>
      <c r="D340" s="997"/>
      <c r="E340" s="998"/>
    </row>
    <row r="341" spans="2:5" ht="30">
      <c r="B341" s="985" t="str">
        <f>_xlfn.CONCAT("Enter the daily rate for a single staff worker working on ","'",B336,".'")</f>
        <v>Enter the daily rate for a single staff worker working on 'Network and transmission.'</v>
      </c>
      <c r="C341" s="978"/>
      <c r="D341" s="979"/>
      <c r="E341" s="1017" t="str">
        <f>IF($C337="No",_xlfn.CONCAT("If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342" spans="2:5" ht="30">
      <c r="B342" s="985" t="str">
        <f>_xlfn.CONCAT("Enter the level of effort (number of days) needed to complete ","'",B336,".'")</f>
        <v>Enter the level of effort (number of days) needed to complete 'Network and transmission.'</v>
      </c>
      <c r="C342" s="978"/>
      <c r="D342" s="979"/>
      <c r="E342" s="1017"/>
    </row>
    <row r="343" spans="2:5">
      <c r="B343" s="762"/>
      <c r="C343" s="762"/>
      <c r="D343" s="762"/>
      <c r="E343" s="762"/>
    </row>
    <row r="344" spans="2:5">
      <c r="B344" s="995" t="s">
        <v>5</v>
      </c>
      <c r="C344" s="1083"/>
      <c r="D344" s="997"/>
      <c r="E344" s="998" t="str">
        <f>IF($C337="No",_xlfn.CONCAT("Enter the cost of any equipment needed for this activity within the 'Deployment costs' tab as 'Any other equipment' under the 'Equipment' section."),"")</f>
        <v/>
      </c>
    </row>
    <row r="345" spans="2:5">
      <c r="B345" s="985"/>
      <c r="C345" s="1084"/>
      <c r="D345" s="1000"/>
      <c r="E345" s="982"/>
    </row>
    <row r="346" spans="2:5">
      <c r="B346" s="995" t="s">
        <v>291</v>
      </c>
      <c r="C346" s="1083"/>
      <c r="D346" s="997"/>
      <c r="E346" s="998"/>
    </row>
    <row r="347" spans="2:5">
      <c r="B347" s="985" t="s">
        <v>1683</v>
      </c>
      <c r="C347" s="978"/>
      <c r="D347" s="979"/>
      <c r="E347" s="981" t="str">
        <f>IF($C337="No",_xlfn.CONCAT("If multiple software licenses are required, use the 'Software' table on the 'Calculator' tab to sum the cost for all software licenses. Paste the values from 'Total cost' here."),"")</f>
        <v/>
      </c>
    </row>
    <row r="348" spans="2:5">
      <c r="B348" s="762"/>
      <c r="C348" s="762"/>
      <c r="D348" s="762"/>
      <c r="E348" s="762"/>
    </row>
    <row r="349" spans="2:5">
      <c r="B349" s="995" t="s">
        <v>1639</v>
      </c>
      <c r="C349" s="1083"/>
      <c r="D349" s="997"/>
      <c r="E349" s="998"/>
    </row>
    <row r="350" spans="2:5">
      <c r="B350" s="985" t="s">
        <v>1765</v>
      </c>
      <c r="C350" s="978"/>
      <c r="D350" s="979"/>
      <c r="E350" s="986" t="str">
        <f>IF($C337="No",_xlfn.CONCAT("Contracted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351" spans="2:5">
      <c r="B351" s="762"/>
      <c r="C351" s="762"/>
      <c r="D351" s="762"/>
      <c r="E351" s="762"/>
    </row>
    <row r="352" spans="2:5">
      <c r="B352" s="995" t="s">
        <v>1682</v>
      </c>
      <c r="C352" s="1083"/>
      <c r="D352" s="997"/>
      <c r="E352" s="998"/>
    </row>
    <row r="353" spans="2:5" ht="30">
      <c r="B353" s="985" t="s">
        <v>1687</v>
      </c>
      <c r="C353" s="978"/>
      <c r="D353" s="979"/>
      <c r="E353" s="986"/>
    </row>
    <row r="354" spans="2:5">
      <c r="B354" s="762"/>
      <c r="C354" s="762"/>
      <c r="D354" s="762"/>
      <c r="E354" s="762"/>
    </row>
    <row r="355" spans="2:5" ht="30">
      <c r="B355" s="993" t="str">
        <f>_xlfn.CONCAT("Enter the annual recurring costs for ","'",$B336,"'"," attributable to this implementation.")</f>
        <v>Enter the annual recurring costs for 'Network and transmission' attributable to this implementation.</v>
      </c>
      <c r="C355" s="1082"/>
      <c r="D355" s="1082" t="str">
        <f>IF($C337="No","","")</f>
        <v/>
      </c>
      <c r="E355" s="992" t="str">
        <f>IF($C337="No",_xlfn.CONCAT("Consider which activities are intended to be repeated multiple times throughout all phases of implementation."),"")</f>
        <v/>
      </c>
    </row>
    <row r="356" spans="2:5">
      <c r="B356" s="995" t="s">
        <v>1638</v>
      </c>
      <c r="C356" s="1083"/>
      <c r="D356" s="997"/>
      <c r="E356" s="998"/>
    </row>
    <row r="357" spans="2:5" ht="30">
      <c r="B357" s="985" t="str">
        <f>_xlfn.CONCAT("Enter the daily rate for a single staff worker working on ","'",B336,".'")</f>
        <v>Enter the daily rate for a single staff worker working on 'Network and transmission.'</v>
      </c>
      <c r="C357" s="978"/>
      <c r="D357" s="979"/>
      <c r="E357" s="1017" t="str">
        <f>IF($C337="No",_xlfn.CONCAT("If multiple staff with different roles (and daily rates) are needed to complete this activity, please use 'Personnel' table on the 'Calculator' tab to calculate the weighted daily rate and the total number of days."," ","Paste the values from 'Daily rate (weighted) and 'Days' here."),"")</f>
        <v/>
      </c>
    </row>
    <row r="358" spans="2:5" ht="30">
      <c r="B358" s="985" t="str">
        <f>_xlfn.CONCAT("Enter the level of effort (number of days) needed to complete ","'",B336,"' on an annual basis.")</f>
        <v>Enter the level of effort (number of days) needed to complete 'Network and transmission' on an annual basis.</v>
      </c>
      <c r="C358" s="978"/>
      <c r="D358" s="979"/>
      <c r="E358" s="1017"/>
    </row>
    <row r="359" spans="2:5" s="762" customFormat="1"/>
    <row r="360" spans="2:5">
      <c r="B360" s="995" t="s">
        <v>5</v>
      </c>
      <c r="C360" s="1083"/>
      <c r="D360" s="997"/>
      <c r="E360" s="998" t="str">
        <f>IF($C337="No",_xlfn.CONCAT("Enter the cost of any equipment needed for this activity within the 'Deployment costs' tab as 'Any other equipment' under the 'Equipment' section."),"")</f>
        <v/>
      </c>
    </row>
    <row r="361" spans="2:5">
      <c r="B361" s="985"/>
      <c r="C361" s="1084"/>
      <c r="D361" s="1000"/>
      <c r="E361" s="982"/>
    </row>
    <row r="362" spans="2:5">
      <c r="B362" s="995" t="s">
        <v>291</v>
      </c>
      <c r="C362" s="1083"/>
      <c r="D362" s="997"/>
      <c r="E362" s="998"/>
    </row>
    <row r="363" spans="2:5">
      <c r="B363" s="985" t="s">
        <v>1684</v>
      </c>
      <c r="C363" s="978"/>
      <c r="D363" s="979"/>
      <c r="E363" s="981" t="str">
        <f>IF($C337="No",_xlfn.CONCAT("If multiple software licenses are required, use the 'Software' table on the 'Calculator' tab to sum the cost for all software licenses. Paste the values from 'Total cost' here."),"")</f>
        <v/>
      </c>
    </row>
    <row r="364" spans="2:5">
      <c r="B364" s="762"/>
      <c r="C364" s="762"/>
      <c r="D364" s="762"/>
      <c r="E364" s="762"/>
    </row>
    <row r="365" spans="2:5">
      <c r="B365" s="995" t="s">
        <v>1639</v>
      </c>
      <c r="C365" s="1083"/>
      <c r="D365" s="997"/>
      <c r="E365" s="998"/>
    </row>
    <row r="366" spans="2:5">
      <c r="B366" s="985" t="s">
        <v>1685</v>
      </c>
      <c r="C366" s="978"/>
      <c r="D366" s="979"/>
      <c r="E366" s="986" t="str">
        <f>IF($C337="No",_xlfn.CONCAT("Contracted services often take the place of personnel costs. However, it is possible that personnel costs are still required even if contracted services are used (e.g., personnel to manage the contractors).",CHAR(10),CHAR(10),"If multiple contracted services are required, use the 'Contracted services' table on the 'Calculator' tab to sum the cost for all contracted services. Paste the value from 'Total cost' here."),"")</f>
        <v/>
      </c>
    </row>
    <row r="367" spans="2:5">
      <c r="B367" s="762"/>
      <c r="C367" s="762"/>
      <c r="D367" s="762"/>
      <c r="E367" s="762"/>
    </row>
    <row r="368" spans="2:5">
      <c r="B368" s="995" t="s">
        <v>1682</v>
      </c>
      <c r="C368" s="1083"/>
      <c r="D368" s="997"/>
      <c r="E368" s="998"/>
    </row>
    <row r="369" spans="2:5" ht="30">
      <c r="B369" s="985" t="s">
        <v>1686</v>
      </c>
      <c r="C369" s="978"/>
      <c r="D369" s="979"/>
      <c r="E369" s="986"/>
    </row>
    <row r="371" spans="2:5" ht="165">
      <c r="B371" s="983" t="s">
        <v>1702</v>
      </c>
      <c r="C371" s="984"/>
      <c r="D371" s="984"/>
      <c r="E371" s="826" t="s">
        <v>1735</v>
      </c>
    </row>
    <row r="372" spans="2:5" ht="30">
      <c r="B372" s="985" t="s">
        <v>1749</v>
      </c>
      <c r="C372" s="977"/>
      <c r="D372" s="979"/>
      <c r="E372" s="1003"/>
    </row>
    <row r="373" spans="2:5">
      <c r="B373" s="762"/>
      <c r="C373" s="762"/>
      <c r="D373" s="762"/>
      <c r="E373" s="762"/>
    </row>
    <row r="374" spans="2:5" ht="30">
      <c r="B374" s="993" t="str">
        <f>_xlfn.CONCAT("Enter any one-time costs for ","'",$B371,"'"," attributable to this implementation.")</f>
        <v>Enter any one-time costs for 'Training and professional development' attributable to this implementation.</v>
      </c>
      <c r="C374" s="1082"/>
      <c r="D374" s="1082"/>
      <c r="E374" s="992" t="str">
        <f>IF($C372="No","Consider if there are any one-time activities during the 'Development' and/or 'Deployment' phases of implementation.","")</f>
        <v/>
      </c>
    </row>
    <row r="375" spans="2:5">
      <c r="B375" s="995" t="s">
        <v>1721</v>
      </c>
      <c r="C375" s="1083"/>
      <c r="D375" s="997"/>
      <c r="E375" s="998"/>
    </row>
    <row r="376" spans="2:5" ht="45">
      <c r="B376" s="985" t="s">
        <v>1722</v>
      </c>
      <c r="C376" s="978"/>
      <c r="D376" s="979"/>
      <c r="E376" s="986" t="str">
        <f>IF($C372="No",_xlfn.CONCAT("Costs are driven largely by the delivery approach (e.g., eLearning, classroom-based training, on-the-job training). For example, on-the-job training costs much less than classroom-based training."),"")</f>
        <v/>
      </c>
    </row>
    <row r="377" spans="2:5" ht="45">
      <c r="B377" s="985" t="s">
        <v>1710</v>
      </c>
      <c r="C377" s="978"/>
      <c r="D377" s="979"/>
      <c r="E377" s="876" t="str">
        <f>IF($C372="No",_xlfn.CONCAT("Includes labor associated with developing a training program, curricula, and materials. Material developed may be used for subsequent trainings, unless new features are developed necessitating additional training material development."),"")</f>
        <v/>
      </c>
    </row>
    <row r="378" spans="2:5">
      <c r="B378" s="985" t="s">
        <v>1711</v>
      </c>
      <c r="C378" s="978"/>
      <c r="D378" s="979" t="str">
        <f>IF($C372="No",_xlfn.CONCAT("1 - 3 days"),"")</f>
        <v/>
      </c>
      <c r="E378" s="876"/>
    </row>
    <row r="379" spans="2:5">
      <c r="B379" s="985" t="s">
        <v>1712</v>
      </c>
      <c r="C379" s="978"/>
      <c r="D379" s="979"/>
      <c r="E379" s="876"/>
    </row>
    <row r="380" spans="2:5" ht="30">
      <c r="B380" s="985" t="s">
        <v>1713</v>
      </c>
      <c r="C380" s="978"/>
      <c r="D380" s="979" t="str">
        <f>IF($C372="No",_xlfn.CONCAT("$50-$100 per person per day"),"")</f>
        <v/>
      </c>
      <c r="E380" s="876"/>
    </row>
    <row r="381" spans="2:5" ht="30">
      <c r="B381" s="985" t="s">
        <v>1714</v>
      </c>
      <c r="C381" s="978"/>
      <c r="D381" s="979" t="str">
        <f>IF($C372="No",IF($C376="Classroom-based training",_xlfn.CONCAT("$20-$25"),""),"")</f>
        <v/>
      </c>
      <c r="E381" s="882" t="str">
        <f>IF($C372="No",IF(C$376="Classroom-based training",_xlfn.CONCAT("For classroom-based training, this number will be used to calculate the number of training sessions required to train all the users.","For example, if the number of users to be trained is 110 and 20 users can be trained in one session, 6 sessions would have to be conducted."),""),"")</f>
        <v/>
      </c>
    </row>
    <row r="382" spans="2:5" ht="30">
      <c r="B382" s="985" t="s">
        <v>1715</v>
      </c>
      <c r="C382" s="978"/>
      <c r="E382" s="876"/>
    </row>
    <row r="383" spans="2:5" ht="30">
      <c r="B383" s="985" t="s">
        <v>1716</v>
      </c>
      <c r="C383" s="978"/>
      <c r="D383" s="883" t="str">
        <f>IF($C372="No",IF($C376="Classroom-based training","$170 - 340 USD per day",""),"")</f>
        <v/>
      </c>
      <c r="E383" s="876"/>
    </row>
    <row r="384" spans="2:5">
      <c r="B384" s="985" t="s">
        <v>1717</v>
      </c>
      <c r="C384" s="978"/>
      <c r="D384" s="881" t="str">
        <f>IF($C372="No",IF($C376="Classroom-based training","$150 - 200 per person per day",""),"")</f>
        <v/>
      </c>
      <c r="E384" s="876"/>
    </row>
    <row r="385" spans="2:5">
      <c r="B385" s="985" t="s">
        <v>1718</v>
      </c>
      <c r="C385" s="978"/>
      <c r="D385" s="979"/>
      <c r="E385" s="886" t="str">
        <f>IF($C372="No",IF(C$376="Classroom-based training",_xlfn.CONCAT("May include travel, facility and equipment rentals. Typical requirements: 1 facilitator should be present for every 20 participants assumed. Costs should factor in number of training days, number of attendees, and location of training.","The type of device utilized for the implementation (mobile, tablet or desktop computer) may impact training costs. Training for mobile device systems may incur lower costs if users are familiar with similar mobile applications for other activities."),""),"")</f>
        <v/>
      </c>
    </row>
    <row r="386" spans="2:5">
      <c r="B386" s="762"/>
      <c r="C386" s="762"/>
      <c r="D386" s="762"/>
      <c r="E386" s="762"/>
    </row>
    <row r="387" spans="2:5">
      <c r="B387" s="995" t="s">
        <v>1682</v>
      </c>
      <c r="C387" s="1083"/>
      <c r="D387" s="997"/>
      <c r="E387" s="998"/>
    </row>
    <row r="388" spans="2:5" ht="30">
      <c r="B388" s="985" t="s">
        <v>1687</v>
      </c>
      <c r="C388" s="978"/>
      <c r="D388" s="979"/>
      <c r="E388" s="986"/>
    </row>
    <row r="389" spans="2:5">
      <c r="B389" s="762"/>
      <c r="C389" s="762"/>
      <c r="D389" s="762"/>
      <c r="E389" s="762"/>
    </row>
    <row r="390" spans="2:5" ht="30">
      <c r="B390" s="993" t="str">
        <f>_xlfn.CONCAT("Enter the annual recurring costs for ","'",$B371,"'"," attributable to this implementation.")</f>
        <v>Enter the annual recurring costs for 'Training and professional development' attributable to this implementation.</v>
      </c>
      <c r="C390" s="1082"/>
      <c r="D390" s="1082" t="str">
        <f>IF($C372="No","","")</f>
        <v/>
      </c>
      <c r="E390" s="992" t="str">
        <f>IF($C372="No",_xlfn.CONCAT("Consider which activities are intended to be repeated multiple times throughout all phases of implementation."),"")</f>
        <v/>
      </c>
    </row>
    <row r="391" spans="2:5">
      <c r="B391" s="995" t="s">
        <v>1720</v>
      </c>
      <c r="C391" s="1083"/>
      <c r="D391" s="997"/>
      <c r="E391" s="998"/>
    </row>
    <row r="392" spans="2:5" ht="30" customHeight="1">
      <c r="B392" s="985" t="s">
        <v>1709</v>
      </c>
      <c r="C392" s="978"/>
      <c r="D392" s="979"/>
      <c r="E392" s="986" t="str">
        <f>IF($C372="No",_xlfn.CONCAT("Refresher training could follow a similar or a different approach as the new deployment training."," Costs are driven largely by the delivery approach (e.g., eLearning, classroom-based training, on-the-job training). For example, on-the-job training costs much less than classroom-based training."),"")</f>
        <v/>
      </c>
    </row>
    <row r="393" spans="2:5" ht="30">
      <c r="B393" s="985" t="s">
        <v>1725</v>
      </c>
      <c r="C393" s="978"/>
      <c r="D393" s="979"/>
      <c r="E393" s="876" t="str">
        <f>IF($C372="No",_xlfn.CONCAT("Includes labor associated with developing a training program, curricula and materials. This may just be costs associated with updating the materials from the initial training."),"")</f>
        <v/>
      </c>
    </row>
    <row r="394" spans="2:5">
      <c r="B394" s="985" t="s">
        <v>1723</v>
      </c>
      <c r="C394" s="978"/>
      <c r="D394" s="979" t="str">
        <f>IF($C372="No",_xlfn.CONCAT("1 - 2 days"),"")</f>
        <v/>
      </c>
      <c r="E394" s="876"/>
    </row>
    <row r="395" spans="2:5">
      <c r="B395" s="985" t="s">
        <v>1724</v>
      </c>
      <c r="C395" s="978"/>
      <c r="D395" s="979"/>
      <c r="E395" s="876"/>
    </row>
    <row r="396" spans="2:5" ht="30">
      <c r="B396" s="985" t="s">
        <v>1713</v>
      </c>
      <c r="C396" s="978"/>
      <c r="D396" s="979" t="str">
        <f>IF($C372="No",_xlfn.CONCAT("$50-$100 per person per day"),"")</f>
        <v/>
      </c>
      <c r="E396" s="876"/>
    </row>
    <row r="397" spans="2:5" ht="30">
      <c r="B397" s="985" t="s">
        <v>1714</v>
      </c>
      <c r="C397" s="978"/>
      <c r="D397" s="979" t="str">
        <f>IF($C372="No",IF($C392="Classroom-based training","20 - 25",""),"")</f>
        <v/>
      </c>
      <c r="E397" s="882" t="str">
        <f>IF($C372="No",IF(C$392="Classroom-based training",_xlfn.CONCAT("For classroom-based training, this number will be used to calculate the number of training sessions required to train all the users.","For example, if the number of users to be trained is 110 and 20 users can be trained in one session, 6 sessions would have to be conducted."),""),"")</f>
        <v/>
      </c>
    </row>
    <row r="398" spans="2:5" ht="30">
      <c r="B398" s="985" t="s">
        <v>1715</v>
      </c>
      <c r="C398" s="978"/>
      <c r="E398" s="876"/>
    </row>
    <row r="399" spans="2:5" ht="30">
      <c r="B399" s="985" t="s">
        <v>1716</v>
      </c>
      <c r="C399" s="978"/>
      <c r="D399" s="883" t="str">
        <f>IF($C372="No",IF($C392="Classroom-based training","$170 - 340 USD per day",""),"")</f>
        <v/>
      </c>
      <c r="E399" s="876"/>
    </row>
    <row r="400" spans="2:5">
      <c r="B400" s="985" t="s">
        <v>1717</v>
      </c>
      <c r="C400" s="978"/>
      <c r="D400" s="881" t="str">
        <f>IF($C372="No",IF($C392="Classroom-based training","$150 - 200 per person per day",""),"")</f>
        <v/>
      </c>
      <c r="E400" s="876"/>
    </row>
    <row r="401" spans="2:5">
      <c r="B401" s="985" t="s">
        <v>1718</v>
      </c>
      <c r="C401" s="978"/>
      <c r="D401" s="979"/>
      <c r="E401" s="886" t="str">
        <f>IF($C372="No",IF(C$392="Classroom-based training",_xlfn.CONCAT("May include travel, facility and equipment rentals. Typical requirements: 1 facilitator should be present for every 20 participants assumed. Costs should factor in number of training days, number of attendees, and location of training.","The type of device utilized for the implementation (mobile, tablet or desktop computer) may impact training costs. Training for mobile device systems may incur lower costs if users are familiar with similar mobile applications for other activities."),""),"")</f>
        <v/>
      </c>
    </row>
    <row r="402" spans="2:5">
      <c r="B402" s="762"/>
      <c r="C402" s="762"/>
      <c r="D402" s="762"/>
      <c r="E402" s="762"/>
    </row>
    <row r="403" spans="2:5">
      <c r="B403" s="995" t="s">
        <v>1682</v>
      </c>
      <c r="C403" s="1083"/>
      <c r="D403" s="997"/>
      <c r="E403" s="998"/>
    </row>
    <row r="404" spans="2:5" ht="30">
      <c r="B404" s="985" t="s">
        <v>1687</v>
      </c>
      <c r="C404" s="978"/>
      <c r="D404" s="979"/>
      <c r="E404" s="986"/>
    </row>
  </sheetData>
  <sheetProtection algorithmName="SHA-512" hashValue="+Bvr7CDSWvmBaEAIcnTqmuRo9BqaWH4M21C9AKI1d1SZTWzmw3EZ3CQv/OO+tlYlYIMnTvy+6V0AEYfMbCydfA==" saltValue="zqjqJVXIZWPOwRlQT9HKRg==" spinCount="100000" sheet="1" formatColumns="0" formatRows="0"/>
  <mergeCells count="27">
    <mergeCell ref="B159:B160"/>
    <mergeCell ref="B2:E2"/>
    <mergeCell ref="E13:E14"/>
    <mergeCell ref="E24:E25"/>
    <mergeCell ref="E98:E99"/>
    <mergeCell ref="E112:E113"/>
    <mergeCell ref="E79:E80"/>
    <mergeCell ref="B7:B8"/>
    <mergeCell ref="E38:E39"/>
    <mergeCell ref="E49:E50"/>
    <mergeCell ref="E63:E64"/>
    <mergeCell ref="E165:E166"/>
    <mergeCell ref="E179:E180"/>
    <mergeCell ref="E129:E130"/>
    <mergeCell ref="E145:E146"/>
    <mergeCell ref="E196:E197"/>
    <mergeCell ref="E210:E211"/>
    <mergeCell ref="E227:E228"/>
    <mergeCell ref="E240:E241"/>
    <mergeCell ref="E256:E257"/>
    <mergeCell ref="E341:E342"/>
    <mergeCell ref="E357:E358"/>
    <mergeCell ref="E269:E270"/>
    <mergeCell ref="E285:E286"/>
    <mergeCell ref="E296:E297"/>
    <mergeCell ref="E310:E311"/>
    <mergeCell ref="E324:E325"/>
  </mergeCells>
  <conditionalFormatting sqref="B11:B14">
    <cfRule type="expression" dxfId="87" priority="416">
      <formula>$C$9&lt;&gt;"No"</formula>
    </cfRule>
  </conditionalFormatting>
  <conditionalFormatting sqref="B16:B17 B19:B20 B22:B25 B27:B28 B30:B31">
    <cfRule type="expression" dxfId="86" priority="43">
      <formula>$C$9&lt;&gt;"No"</formula>
    </cfRule>
  </conditionalFormatting>
  <conditionalFormatting sqref="B36:B39 B41 B44:B45 B47:B50 B52:B53 B55:B56">
    <cfRule type="expression" dxfId="85" priority="41">
      <formula>$C$34&lt;&gt;"No"</formula>
    </cfRule>
  </conditionalFormatting>
  <conditionalFormatting sqref="B42">
    <cfRule type="expression" dxfId="84" priority="14">
      <formula>$C$9&lt;&gt;"No"</formula>
    </cfRule>
  </conditionalFormatting>
  <conditionalFormatting sqref="B61:B64 B66:B69 B71 B74:B75 B77:B80 B82:B85 B87:B88 B90:B91">
    <cfRule type="expression" dxfId="83" priority="39">
      <formula>$C$59&lt;&gt;"No"</formula>
    </cfRule>
  </conditionalFormatting>
  <conditionalFormatting sqref="B72">
    <cfRule type="expression" dxfId="82" priority="13">
      <formula>$C$9&lt;&gt;"No"</formula>
    </cfRule>
  </conditionalFormatting>
  <conditionalFormatting sqref="B96:B99 B101:B102 B104 B107:B108 B110:B113 B115:B116 B118:B119 B121:B122">
    <cfRule type="expression" dxfId="81" priority="37">
      <formula>$C$94&lt;&gt;"No"</formula>
    </cfRule>
  </conditionalFormatting>
  <conditionalFormatting sqref="B105">
    <cfRule type="expression" dxfId="80" priority="12">
      <formula>$C$9&lt;&gt;"No"</formula>
    </cfRule>
  </conditionalFormatting>
  <conditionalFormatting sqref="B127:B130 B132:B135 B137 B140:B141 B143:B146 B148:B151 B153:B154 B156:B157">
    <cfRule type="expression" dxfId="79" priority="35">
      <formula>$C$125&lt;&gt;"No"</formula>
    </cfRule>
  </conditionalFormatting>
  <conditionalFormatting sqref="B138">
    <cfRule type="expression" dxfId="78" priority="11">
      <formula>$C$9&lt;&gt;"No"</formula>
    </cfRule>
  </conditionalFormatting>
  <conditionalFormatting sqref="B163:B166 B168:B169 B171 B174:B175 B177:B180 B182:B183 B185:B186 B188:B189">
    <cfRule type="expression" dxfId="77" priority="33">
      <formula>$C$161&lt;&gt;"No"</formula>
    </cfRule>
  </conditionalFormatting>
  <conditionalFormatting sqref="B172">
    <cfRule type="expression" dxfId="76" priority="10">
      <formula>$C$9&lt;&gt;"No"</formula>
    </cfRule>
  </conditionalFormatting>
  <conditionalFormatting sqref="B194:B197 B199:B200 B202 B205:B206 B208:B211 B213:B214 B216:B217 B219:B220">
    <cfRule type="expression" dxfId="75" priority="31">
      <formula>$C$192&lt;&gt;"No"</formula>
    </cfRule>
  </conditionalFormatting>
  <conditionalFormatting sqref="B203">
    <cfRule type="expression" dxfId="74" priority="9">
      <formula>$C$9&lt;&gt;"No"</formula>
    </cfRule>
  </conditionalFormatting>
  <conditionalFormatting sqref="B225:B228 B230:B232 B235:B236 B238:B241 B243:B246 B248:B249">
    <cfRule type="expression" dxfId="73" priority="29">
      <formula>$C$223&lt;&gt;"No"</formula>
    </cfRule>
  </conditionalFormatting>
  <conditionalFormatting sqref="B233">
    <cfRule type="expression" dxfId="72" priority="8">
      <formula>$C$9&lt;&gt;"No"</formula>
    </cfRule>
  </conditionalFormatting>
  <conditionalFormatting sqref="B254:B257 B259:B261 B264:B265 B267:B270 B272:B275 B277:B278">
    <cfRule type="expression" dxfId="71" priority="27">
      <formula>$C$252&lt;&gt;"No"</formula>
    </cfRule>
  </conditionalFormatting>
  <conditionalFormatting sqref="B262">
    <cfRule type="expression" dxfId="70" priority="7">
      <formula>$C$9&lt;&gt;"No"</formula>
    </cfRule>
  </conditionalFormatting>
  <conditionalFormatting sqref="B283:B286 B288 B291:B292 B294:B297 B299:B300 B302:B303">
    <cfRule type="expression" dxfId="69" priority="25">
      <formula>$C$281&lt;&gt;"No"</formula>
    </cfRule>
  </conditionalFormatting>
  <conditionalFormatting sqref="B289">
    <cfRule type="expression" dxfId="68" priority="6">
      <formula>$C$9&lt;&gt;"No"</formula>
    </cfRule>
  </conditionalFormatting>
  <conditionalFormatting sqref="B308:B311 B313:B314 B316 B319:B320 B322:B325 B327:B328 B330:B331 B333:B334">
    <cfRule type="expression" dxfId="67" priority="23">
      <formula>$C$306&lt;&gt;"No"</formula>
    </cfRule>
  </conditionalFormatting>
  <conditionalFormatting sqref="B317">
    <cfRule type="expression" dxfId="66" priority="5">
      <formula>$C$9&lt;&gt;"No"</formula>
    </cfRule>
  </conditionalFormatting>
  <conditionalFormatting sqref="B339:B342 B344:B347 B349 B352:B353 B355:B358 B360:B362 B365 B368">
    <cfRule type="expression" dxfId="65" priority="21">
      <formula>$C$337&lt;&gt;"No"</formula>
    </cfRule>
  </conditionalFormatting>
  <conditionalFormatting sqref="B350">
    <cfRule type="expression" dxfId="64" priority="4">
      <formula>$C$9&lt;&gt;"No"</formula>
    </cfRule>
  </conditionalFormatting>
  <conditionalFormatting sqref="B363">
    <cfRule type="expression" dxfId="63" priority="2">
      <formula>$C$306&lt;&gt;"No"</formula>
    </cfRule>
  </conditionalFormatting>
  <conditionalFormatting sqref="B366">
    <cfRule type="expression" dxfId="62" priority="3">
      <formula>$C$9&lt;&gt;"No"</formula>
    </cfRule>
  </conditionalFormatting>
  <conditionalFormatting sqref="B369">
    <cfRule type="expression" dxfId="61" priority="1">
      <formula>$C$306&lt;&gt;"No"</formula>
    </cfRule>
  </conditionalFormatting>
  <conditionalFormatting sqref="B374:B385 B387:B388 B390:B401 B403:B404">
    <cfRule type="expression" dxfId="60" priority="19">
      <formula>$C$372&lt;&gt;"No"</formula>
    </cfRule>
  </conditionalFormatting>
  <conditionalFormatting sqref="B381:B385">
    <cfRule type="expression" dxfId="59" priority="16">
      <formula>$C$376&lt;&gt;"Classroom-based training"</formula>
    </cfRule>
  </conditionalFormatting>
  <conditionalFormatting sqref="B397:B401">
    <cfRule type="expression" dxfId="58" priority="15">
      <formula>$C$392&lt;&gt;"Classroom-based training"</formula>
    </cfRule>
  </conditionalFormatting>
  <hyperlinks>
    <hyperlink ref="B1" location="Menu!D10" tooltip="Menu" display="&lt;&lt; Menu" xr:uid="{57FC16B6-FF40-410E-9550-0A4EAFF39CC7}"/>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You can only enter Yes or No in this cell." xr:uid="{2C17159D-B4FD-43CF-AC9B-59B8A64F456A}">
          <x14:formula1>
            <xm:f>'Value lists'!$A$1:$A$2</xm:f>
          </x14:formula1>
          <xm:sqref>C9 C223 C306 C94 C34 C59 C337 C125 C161 C192 C252 C281 C372</xm:sqref>
        </x14:dataValidation>
        <x14:dataValidation type="list" allowBlank="1" showInputMessage="1" showErrorMessage="1" xr:uid="{EBC20E53-C285-4951-9E0B-EA237B9B4AE4}">
          <x14:formula1>
            <xm:f>'Value lists'!$B$1:$B$3</xm:f>
          </x14:formula1>
          <xm:sqref>C376 C392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FDA6D-8A54-406A-B37A-D017161F50F7}">
  <sheetPr codeName="Sheet8">
    <tabColor rgb="FF0563C1"/>
    <pageSetUpPr fitToPage="1"/>
  </sheetPr>
  <dimension ref="B1:J71"/>
  <sheetViews>
    <sheetView topLeftCell="A5" zoomScale="80" zoomScaleNormal="80" workbookViewId="0">
      <selection activeCell="H44" sqref="H44"/>
    </sheetView>
  </sheetViews>
  <sheetFormatPr defaultColWidth="8.5703125" defaultRowHeight="15"/>
  <cols>
    <col min="1" max="1" width="2.140625" style="689" customWidth="1"/>
    <col min="2" max="2" width="54.42578125" style="689" bestFit="1" customWidth="1"/>
    <col min="3" max="8" width="14.140625" style="689" customWidth="1"/>
    <col min="9" max="9" width="8.5703125" style="689" customWidth="1"/>
    <col min="10" max="10" width="151.140625" style="689" hidden="1" customWidth="1"/>
    <col min="11" max="16384" width="8.5703125" style="689"/>
  </cols>
  <sheetData>
    <row r="1" spans="2:10" ht="15" customHeight="1">
      <c r="B1" s="970" t="s">
        <v>1621</v>
      </c>
    </row>
    <row r="2" spans="2:10" ht="32.1" customHeight="1">
      <c r="B2" s="1010" t="s">
        <v>1600</v>
      </c>
      <c r="C2" s="1011"/>
      <c r="D2" s="1011"/>
      <c r="E2" s="1011"/>
      <c r="F2" s="1011"/>
      <c r="G2" s="1011"/>
      <c r="H2" s="1012"/>
      <c r="I2" s="955"/>
    </row>
    <row r="3" spans="2:10" ht="15" customHeight="1" thickBot="1">
      <c r="B3" s="711"/>
      <c r="C3" s="711"/>
      <c r="D3" s="711"/>
      <c r="E3" s="711"/>
      <c r="F3" s="711"/>
      <c r="G3" s="711"/>
      <c r="H3" s="711"/>
      <c r="I3" s="711"/>
    </row>
    <row r="4" spans="2:10" ht="15.75" thickBot="1">
      <c r="B4" s="712" t="e">
        <f>IF('Scope of implementation'!C8=1, "Currency = US Dollar", "Currency =" &amp; " " &amp;VLOOKUP('Scope of implementation'!C7,Table1[#All],3))</f>
        <v>#N/A</v>
      </c>
      <c r="C4" s="711"/>
      <c r="D4" s="711"/>
      <c r="E4" s="711"/>
      <c r="F4" s="711"/>
      <c r="G4" s="711"/>
      <c r="H4" s="711"/>
      <c r="I4" s="711"/>
    </row>
    <row r="5" spans="2:10" ht="18.75">
      <c r="C5" s="1019" t="s">
        <v>649</v>
      </c>
      <c r="D5" s="1019"/>
      <c r="E5" s="1019"/>
      <c r="F5" s="1019"/>
      <c r="G5" s="1019"/>
    </row>
    <row r="6" spans="2:10">
      <c r="B6" s="713" t="s">
        <v>650</v>
      </c>
      <c r="C6" s="956" t="s">
        <v>108</v>
      </c>
      <c r="D6" s="956" t="s">
        <v>109</v>
      </c>
      <c r="E6" s="956" t="s">
        <v>110</v>
      </c>
      <c r="F6" s="956" t="s">
        <v>111</v>
      </c>
      <c r="G6" s="956" t="s">
        <v>112</v>
      </c>
      <c r="H6" s="956" t="s">
        <v>221</v>
      </c>
      <c r="J6" s="957" t="s">
        <v>963</v>
      </c>
    </row>
    <row r="7" spans="2:10">
      <c r="B7" s="740" t="s">
        <v>1418</v>
      </c>
      <c r="C7" s="740"/>
      <c r="D7" s="740"/>
      <c r="E7" s="740"/>
      <c r="F7" s="740"/>
      <c r="G7" s="740"/>
      <c r="H7" s="740"/>
      <c r="J7" s="958" t="s">
        <v>1418</v>
      </c>
    </row>
    <row r="8" spans="2:10" ht="15" customHeight="1">
      <c r="B8" s="689" t="s">
        <v>0</v>
      </c>
      <c r="C8" s="959">
        <f>IF('Development costs'!$C$7="Yes",SUM('Development costs'!C12,'Development costs'!C14,'Development costs'!C15,'Development costs'!C16),0)</f>
        <v>0</v>
      </c>
      <c r="D8" s="959"/>
      <c r="E8" s="959"/>
      <c r="F8" s="959"/>
      <c r="G8" s="959"/>
      <c r="H8" s="959">
        <f>SUM(C8:G8)</f>
        <v>0</v>
      </c>
      <c r="J8" s="960" t="s">
        <v>1595</v>
      </c>
    </row>
    <row r="9" spans="2:10" ht="15" customHeight="1">
      <c r="B9" s="972" t="s">
        <v>2</v>
      </c>
      <c r="C9" s="959">
        <f>IF('Development costs'!$C$7="Yes",SUM('Development costs'!C21,'Development costs'!C23),0)</f>
        <v>0</v>
      </c>
      <c r="D9" s="959"/>
      <c r="E9" s="959"/>
      <c r="F9" s="959"/>
      <c r="G9" s="959"/>
      <c r="H9" s="959">
        <f>SUM(C9:G9)</f>
        <v>0</v>
      </c>
      <c r="J9" s="960" t="s">
        <v>964</v>
      </c>
    </row>
    <row r="10" spans="2:10" ht="15.75" thickBot="1">
      <c r="B10" s="745" t="s">
        <v>3</v>
      </c>
      <c r="C10" s="961">
        <f>IF('Development costs'!$C$7="Yes",'Development costs'!C28,0)</f>
        <v>0</v>
      </c>
      <c r="D10" s="961"/>
      <c r="E10" s="961"/>
      <c r="F10" s="961"/>
      <c r="G10" s="961"/>
      <c r="H10" s="961">
        <f>SUM(C10:G10)</f>
        <v>0</v>
      </c>
      <c r="J10" s="960" t="s">
        <v>972</v>
      </c>
    </row>
    <row r="11" spans="2:10" ht="15.75" thickTop="1">
      <c r="B11" s="747" t="s">
        <v>630</v>
      </c>
      <c r="C11" s="959">
        <f t="shared" ref="C11:H11" si="0">SUM(C8:C10)</f>
        <v>0</v>
      </c>
      <c r="D11" s="959">
        <f t="shared" si="0"/>
        <v>0</v>
      </c>
      <c r="E11" s="959">
        <f t="shared" si="0"/>
        <v>0</v>
      </c>
      <c r="F11" s="959">
        <f t="shared" si="0"/>
        <v>0</v>
      </c>
      <c r="G11" s="959">
        <f t="shared" si="0"/>
        <v>0</v>
      </c>
      <c r="H11" s="959">
        <f t="shared" si="0"/>
        <v>0</v>
      </c>
      <c r="J11" s="960"/>
    </row>
    <row r="12" spans="2:10">
      <c r="B12" s="743" t="s">
        <v>1419</v>
      </c>
      <c r="C12" s="962"/>
      <c r="D12" s="962"/>
      <c r="E12" s="962"/>
      <c r="F12" s="962"/>
      <c r="G12" s="962"/>
      <c r="H12" s="962"/>
      <c r="J12" s="963" t="s">
        <v>1419</v>
      </c>
    </row>
    <row r="13" spans="2:10" ht="15" customHeight="1">
      <c r="B13" s="689" t="s">
        <v>5</v>
      </c>
      <c r="C13" s="959">
        <f>SUM('Deployment costs'!$C$10*'Deployment costs'!C12,'Deployment costs'!$C$18*'Deployment costs'!C20,'Deployment costs'!$C$26*'Deployment costs'!C28,'Deployment costs'!$C$34*'Deployment costs'!C36,'Deployment costs'!C43)</f>
        <v>0</v>
      </c>
      <c r="D13" s="959">
        <f>SUM('Deployment costs'!$C$10*'Deployment costs'!C13,'Deployment costs'!$C$18*'Deployment costs'!C21,'Deployment costs'!$C$26*'Deployment costs'!C29,'Deployment costs'!$C$34*'Deployment costs'!C37,'Deployment costs'!C44)</f>
        <v>0</v>
      </c>
      <c r="E13" s="959">
        <f>SUM('Deployment costs'!$C$10*'Deployment costs'!C14,'Deployment costs'!$C$18*'Deployment costs'!C22,'Deployment costs'!$C$26*'Deployment costs'!C30,'Deployment costs'!$C$34*'Deployment costs'!C38,'Deployment costs'!C45)</f>
        <v>0</v>
      </c>
      <c r="F13" s="959">
        <f>SUM('Deployment costs'!$C$10*'Deployment costs'!C15,'Deployment costs'!$C$18*'Deployment costs'!C23,'Deployment costs'!$C$26*'Deployment costs'!C31,'Deployment costs'!$C$34*'Deployment costs'!C39,'Deployment costs'!C46)</f>
        <v>0</v>
      </c>
      <c r="G13" s="959">
        <f>SUM('Deployment costs'!$C$10*'Deployment costs'!C16,'Deployment costs'!$C$18*'Deployment costs'!C24,'Deployment costs'!$C$26*'Deployment costs'!C32,'Deployment costs'!$C$34*'Deployment costs'!C40,'Deployment costs'!C47)</f>
        <v>0</v>
      </c>
      <c r="H13" s="959">
        <f t="shared" ref="H13:H19" si="1">SUM(C13:G13)</f>
        <v>0</v>
      </c>
      <c r="J13" s="960" t="s">
        <v>1596</v>
      </c>
    </row>
    <row r="14" spans="2:10">
      <c r="B14" s="689" t="s">
        <v>7</v>
      </c>
      <c r="C14" s="959">
        <f>SUM('Deployment costs'!$C$52*'Deployment costs'!C54,'Deployment costs'!C61)</f>
        <v>0</v>
      </c>
      <c r="D14" s="959">
        <f>SUM('Deployment costs'!$C$52*'Deployment costs'!C55,'Deployment costs'!C62)</f>
        <v>0</v>
      </c>
      <c r="E14" s="959">
        <f>SUM('Deployment costs'!$C$52*'Deployment costs'!C56,'Deployment costs'!C63)</f>
        <v>0</v>
      </c>
      <c r="F14" s="959">
        <f>SUM('Deployment costs'!$C$52*'Deployment costs'!C57,'Deployment costs'!C64)</f>
        <v>0</v>
      </c>
      <c r="G14" s="959">
        <f>SUM('Deployment costs'!$C$52*'Deployment costs'!C58,'Deployment costs'!C65)</f>
        <v>0</v>
      </c>
      <c r="H14" s="959">
        <f t="shared" si="1"/>
        <v>0</v>
      </c>
      <c r="J14" s="960" t="s">
        <v>965</v>
      </c>
    </row>
    <row r="15" spans="2:10">
      <c r="B15" s="689" t="s">
        <v>9</v>
      </c>
      <c r="C15" s="959">
        <f>SUM('Deployment costs'!$C$68*'Deployment costs'!C70,'Deployment costs'!C76)</f>
        <v>0</v>
      </c>
      <c r="D15" s="959">
        <f>SUM('Deployment costs'!$C$68*'Deployment costs'!C71,'Deployment costs'!C77)</f>
        <v>0</v>
      </c>
      <c r="E15" s="959">
        <f>SUM('Deployment costs'!$C$68*'Deployment costs'!C72,'Deployment costs'!C78)</f>
        <v>0</v>
      </c>
      <c r="F15" s="959">
        <f>SUM('Deployment costs'!$C$68*'Deployment costs'!C73,'Deployment costs'!C79)</f>
        <v>0</v>
      </c>
      <c r="G15" s="959">
        <f>SUM('Deployment costs'!$C$68*'Deployment costs'!C74,'Deployment costs'!C80)</f>
        <v>0</v>
      </c>
      <c r="H15" s="959">
        <f t="shared" si="1"/>
        <v>0</v>
      </c>
      <c r="J15" s="960" t="s">
        <v>975</v>
      </c>
    </row>
    <row r="16" spans="2:10">
      <c r="B16" s="689" t="s">
        <v>11</v>
      </c>
      <c r="C16" s="959">
        <f>'Deployment costs'!$C83*'Deployment costs'!C85</f>
        <v>0</v>
      </c>
      <c r="D16" s="959">
        <f>'Deployment costs'!$C83*'Deployment costs'!C86</f>
        <v>0</v>
      </c>
      <c r="E16" s="959">
        <f>'Deployment costs'!$C83*'Deployment costs'!C87</f>
        <v>0</v>
      </c>
      <c r="F16" s="959">
        <f>'Deployment costs'!$C83*'Deployment costs'!C88</f>
        <v>0</v>
      </c>
      <c r="G16" s="959">
        <f>'Deployment costs'!$C83*'Deployment costs'!C89</f>
        <v>0</v>
      </c>
      <c r="H16" s="959">
        <f t="shared" si="1"/>
        <v>0</v>
      </c>
      <c r="J16" s="960" t="s">
        <v>976</v>
      </c>
    </row>
    <row r="17" spans="2:10">
      <c r="B17" s="689" t="s">
        <v>1215</v>
      </c>
      <c r="C17" s="959">
        <f>'Deployment costs'!$C92*'Deployment costs'!C94</f>
        <v>0</v>
      </c>
      <c r="D17" s="959">
        <f>'Deployment costs'!$C92*'Deployment costs'!C95</f>
        <v>0</v>
      </c>
      <c r="E17" s="959">
        <f>'Deployment costs'!$C92*'Deployment costs'!C96</f>
        <v>0</v>
      </c>
      <c r="F17" s="959">
        <f>'Deployment costs'!$C92*'Deployment costs'!C97</f>
        <v>0</v>
      </c>
      <c r="G17" s="959">
        <f>'Deployment costs'!$C92*'Deployment costs'!C98</f>
        <v>0</v>
      </c>
      <c r="H17" s="959">
        <f t="shared" si="1"/>
        <v>0</v>
      </c>
      <c r="J17" s="960" t="s">
        <v>977</v>
      </c>
    </row>
    <row r="18" spans="2:10">
      <c r="B18" s="689" t="s">
        <v>33</v>
      </c>
      <c r="C18" s="959">
        <f>SUM('Deployment costs'!$C$101*'Deployment costs'!C103,'Deployment costs'!C109)</f>
        <v>0</v>
      </c>
      <c r="D18" s="959">
        <f>SUM('Deployment costs'!$C$101*'Deployment costs'!C104,'Deployment costs'!C110)</f>
        <v>0</v>
      </c>
      <c r="E18" s="959">
        <f>SUM('Deployment costs'!$C$101*'Deployment costs'!C105,'Deployment costs'!C111)</f>
        <v>0</v>
      </c>
      <c r="F18" s="959">
        <f>SUM('Deployment costs'!$C$101*'Deployment costs'!C106,'Deployment costs'!C112)</f>
        <v>0</v>
      </c>
      <c r="G18" s="959">
        <f>SUM('Deployment costs'!$C$101*'Deployment costs'!C107,'Deployment costs'!C113)</f>
        <v>0</v>
      </c>
      <c r="H18" s="959">
        <f t="shared" si="1"/>
        <v>0</v>
      </c>
      <c r="J18" s="960" t="s">
        <v>966</v>
      </c>
    </row>
    <row r="19" spans="2:10" ht="15.75" thickBot="1">
      <c r="B19" s="745" t="s">
        <v>13</v>
      </c>
      <c r="C19" s="964">
        <f>SUM('Deployment costs'!C117,'Deployment costs'!C122,'Deployment costs'!C151)</f>
        <v>0</v>
      </c>
      <c r="D19" s="965">
        <f>SUM('Deployment costs'!C123,'Deployment costs'!C159)</f>
        <v>0</v>
      </c>
      <c r="E19" s="965">
        <f>SUM('Deployment costs'!C124,'Deployment costs'!C167)</f>
        <v>0</v>
      </c>
      <c r="F19" s="965">
        <f>SUM('Deployment costs'!C125,'Deployment costs'!C175)</f>
        <v>0</v>
      </c>
      <c r="G19" s="965">
        <f>SUM('Deployment costs'!C126,'Deployment costs'!C183)</f>
        <v>0</v>
      </c>
      <c r="H19" s="961">
        <f t="shared" si="1"/>
        <v>0</v>
      </c>
      <c r="J19" s="960" t="s">
        <v>967</v>
      </c>
    </row>
    <row r="20" spans="2:10" ht="15.75" thickTop="1">
      <c r="B20" s="747" t="s">
        <v>630</v>
      </c>
      <c r="C20" s="959">
        <f t="shared" ref="C20:H20" si="2">SUM(C13:C19)</f>
        <v>0</v>
      </c>
      <c r="D20" s="959">
        <f t="shared" si="2"/>
        <v>0</v>
      </c>
      <c r="E20" s="959">
        <f t="shared" si="2"/>
        <v>0</v>
      </c>
      <c r="F20" s="959">
        <f t="shared" si="2"/>
        <v>0</v>
      </c>
      <c r="G20" s="959">
        <f t="shared" si="2"/>
        <v>0</v>
      </c>
      <c r="H20" s="959">
        <f t="shared" si="2"/>
        <v>0</v>
      </c>
      <c r="J20" s="960"/>
    </row>
    <row r="21" spans="2:10">
      <c r="B21" s="743" t="s">
        <v>1384</v>
      </c>
      <c r="C21" s="962"/>
      <c r="D21" s="962"/>
      <c r="E21" s="962"/>
      <c r="F21" s="962"/>
      <c r="G21" s="962"/>
      <c r="H21" s="962"/>
      <c r="J21" s="963" t="s">
        <v>1384</v>
      </c>
    </row>
    <row r="22" spans="2:10">
      <c r="B22" s="689" t="s">
        <v>19</v>
      </c>
      <c r="C22" s="966">
        <f>SUM('Operations costs'!C44,'Operations costs'!C51,'Operations costs'!C58,'Operations costs'!C65,'Operations costs'!C72)</f>
        <v>0</v>
      </c>
      <c r="D22" s="966">
        <f>SUM('Operations costs'!C45,'Operations costs'!C52,'Operations costs'!C59,'Operations costs'!C66,'Operations costs'!C73)</f>
        <v>0</v>
      </c>
      <c r="E22" s="966">
        <f>SUM('Operations costs'!C46,'Operations costs'!C53,'Operations costs'!C60,'Operations costs'!C67,'Operations costs'!C74)</f>
        <v>0</v>
      </c>
      <c r="F22" s="966">
        <f>SUM('Operations costs'!C47,'Operations costs'!C54,'Operations costs'!C61,'Operations costs'!C68,'Operations costs'!C75)</f>
        <v>0</v>
      </c>
      <c r="G22" s="966">
        <f>SUM('Operations costs'!C48,'Operations costs'!C55,'Operations costs'!C62,'Operations costs'!C69,'Operations costs'!C76)</f>
        <v>0</v>
      </c>
      <c r="H22" s="966">
        <f t="shared" ref="H22:H28" si="3">SUM(C22:G22)</f>
        <v>0</v>
      </c>
      <c r="J22" s="960" t="s">
        <v>968</v>
      </c>
    </row>
    <row r="23" spans="2:10">
      <c r="B23" s="689" t="s">
        <v>680</v>
      </c>
      <c r="C23" s="966">
        <f>SUM('Operations costs'!C88,'Operations costs'!C95)</f>
        <v>0</v>
      </c>
      <c r="D23" s="966">
        <f>SUM('Operations costs'!C89,'Operations costs'!C96)</f>
        <v>0</v>
      </c>
      <c r="E23" s="966">
        <f>SUM('Operations costs'!C90,'Operations costs'!C97)</f>
        <v>0</v>
      </c>
      <c r="F23" s="966">
        <f>SUM('Operations costs'!C91,'Operations costs'!C98)</f>
        <v>0</v>
      </c>
      <c r="G23" s="966">
        <f>SUM('Operations costs'!C92,'Operations costs'!C99)</f>
        <v>0</v>
      </c>
      <c r="H23" s="966">
        <f t="shared" si="3"/>
        <v>0</v>
      </c>
      <c r="J23" s="960" t="s">
        <v>969</v>
      </c>
    </row>
    <row r="24" spans="2:10">
      <c r="B24" s="689" t="s">
        <v>23</v>
      </c>
      <c r="C24" s="959">
        <f>'Operations costs'!$C$102*SUM('Operations costs'!C104)</f>
        <v>0</v>
      </c>
      <c r="D24" s="959">
        <f>'Operations costs'!$C$102*SUM('Operations costs'!C104:C105)</f>
        <v>0</v>
      </c>
      <c r="E24" s="959">
        <f>'Operations costs'!$C$102*SUM('Operations costs'!C104:C106)</f>
        <v>0</v>
      </c>
      <c r="F24" s="959">
        <f>'Operations costs'!$C$102*SUM('Operations costs'!C104:C107)</f>
        <v>0</v>
      </c>
      <c r="G24" s="959">
        <f>'Operations costs'!$C$102*SUM('Operations costs'!C104:C108)</f>
        <v>0</v>
      </c>
      <c r="H24" s="959">
        <f t="shared" si="3"/>
        <v>0</v>
      </c>
      <c r="J24" s="960" t="s">
        <v>1597</v>
      </c>
    </row>
    <row r="25" spans="2:10">
      <c r="B25" s="689" t="s">
        <v>25</v>
      </c>
      <c r="C25" s="959">
        <f>'Operations costs'!$C$111*SUM('Operations costs'!C113)</f>
        <v>0</v>
      </c>
      <c r="D25" s="959">
        <f>'Operations costs'!$C$111*SUM('Operations costs'!C113:C114)</f>
        <v>0</v>
      </c>
      <c r="E25" s="959">
        <f>'Operations costs'!$C$111*SUM('Operations costs'!C113:C115)</f>
        <v>0</v>
      </c>
      <c r="F25" s="959">
        <f>'Operations costs'!$C$111*SUM('Operations costs'!C113:C116)</f>
        <v>0</v>
      </c>
      <c r="G25" s="959">
        <f>'Operations costs'!$C$111*SUM('Operations costs'!C113:C117)</f>
        <v>0</v>
      </c>
      <c r="H25" s="959">
        <f t="shared" si="3"/>
        <v>0</v>
      </c>
      <c r="J25" s="960" t="s">
        <v>1598</v>
      </c>
    </row>
    <row r="26" spans="2:10">
      <c r="B26" s="689" t="s">
        <v>1423</v>
      </c>
      <c r="C26" s="959">
        <f>'Operations costs'!C123+'Operations costs'!C151</f>
        <v>0</v>
      </c>
      <c r="D26" s="959">
        <f>'Operations costs'!C124+'Operations costs'!C159</f>
        <v>0</v>
      </c>
      <c r="E26" s="959">
        <f>'Operations costs'!C125+'Operations costs'!C167</f>
        <v>0</v>
      </c>
      <c r="F26" s="959">
        <f>'Operations costs'!C126+'Operations costs'!C175</f>
        <v>0</v>
      </c>
      <c r="G26" s="959">
        <f>'Operations costs'!C127+'Operations costs'!C183</f>
        <v>0</v>
      </c>
      <c r="H26" s="959">
        <f t="shared" si="3"/>
        <v>0</v>
      </c>
      <c r="J26" s="960" t="s">
        <v>970</v>
      </c>
    </row>
    <row r="27" spans="2:10">
      <c r="B27" s="689" t="s">
        <v>29</v>
      </c>
      <c r="C27" s="959">
        <f>'Operations costs'!C187+'Operations costs'!C196+'Operations costs'!C203+'Operations costs'!C210+'Operations costs'!C218+'Operations costs'!C223+'Operations costs'!C224</f>
        <v>0</v>
      </c>
      <c r="D27" s="959">
        <f>'Operations costs'!C197+'Operations costs'!C204+'Operations costs'!C211+'Operations costs'!C219+'Operations costs'!C223+'Operations costs'!C224</f>
        <v>0</v>
      </c>
      <c r="E27" s="959">
        <f>'Operations costs'!C198+'Operations costs'!C205+'Operations costs'!C212+'Operations costs'!C220+'Operations costs'!C223+'Operations costs'!C224</f>
        <v>0</v>
      </c>
      <c r="F27" s="959">
        <f>'Operations costs'!C199+'Operations costs'!C206+'Operations costs'!C213+'Operations costs'!C221+'Operations costs'!C223+'Operations costs'!C224</f>
        <v>0</v>
      </c>
      <c r="G27" s="959">
        <f>'Operations costs'!C200+'Operations costs'!C207+'Operations costs'!C214+'Operations costs'!C222+'Operations costs'!C223+'Operations costs'!C224</f>
        <v>0</v>
      </c>
      <c r="H27" s="959">
        <f t="shared" si="3"/>
        <v>0</v>
      </c>
      <c r="I27" s="698"/>
      <c r="J27" s="967" t="s">
        <v>971</v>
      </c>
    </row>
    <row r="28" spans="2:10">
      <c r="B28" s="689" t="s">
        <v>31</v>
      </c>
      <c r="C28" s="959">
        <f>'Operations costs'!$C$227*'Operations costs'!C229</f>
        <v>0</v>
      </c>
      <c r="D28" s="959">
        <f>'Operations costs'!$C$227*'Operations costs'!C230</f>
        <v>0</v>
      </c>
      <c r="E28" s="959">
        <f>'Operations costs'!$C$227*'Operations costs'!C231</f>
        <v>0</v>
      </c>
      <c r="F28" s="959">
        <f>'Operations costs'!$C$227*'Operations costs'!C232</f>
        <v>0</v>
      </c>
      <c r="G28" s="959">
        <f>'Operations costs'!$C$227*'Operations costs'!C233</f>
        <v>0</v>
      </c>
      <c r="H28" s="959">
        <f t="shared" si="3"/>
        <v>0</v>
      </c>
      <c r="J28" s="960" t="s">
        <v>973</v>
      </c>
    </row>
    <row r="29" spans="2:10">
      <c r="B29" s="689" t="s">
        <v>33</v>
      </c>
      <c r="C29" s="959">
        <f>'Operations costs'!$C$236*'Operations costs'!C238</f>
        <v>0</v>
      </c>
      <c r="D29" s="959">
        <f>'Operations costs'!$C$236*'Operations costs'!C239</f>
        <v>0</v>
      </c>
      <c r="E29" s="959">
        <f>'Operations costs'!$C$236*'Operations costs'!C240</f>
        <v>0</v>
      </c>
      <c r="F29" s="959">
        <f>'Operations costs'!$C$236*'Operations costs'!C241</f>
        <v>0</v>
      </c>
      <c r="G29" s="959">
        <f>'Operations costs'!$C$236*'Operations costs'!C242</f>
        <v>0</v>
      </c>
      <c r="H29" s="959">
        <f>SUM(C29:G29)</f>
        <v>0</v>
      </c>
      <c r="J29" s="960" t="s">
        <v>974</v>
      </c>
    </row>
    <row r="30" spans="2:10">
      <c r="B30" s="689" t="s">
        <v>35</v>
      </c>
      <c r="C30" s="959">
        <f>'Operations costs'!C246</f>
        <v>0</v>
      </c>
      <c r="D30" s="959">
        <f>'Operations costs'!C247</f>
        <v>0</v>
      </c>
      <c r="E30" s="959">
        <f>'Operations costs'!C248</f>
        <v>0</v>
      </c>
      <c r="F30" s="959">
        <f>'Operations costs'!C249</f>
        <v>0</v>
      </c>
      <c r="G30" s="959">
        <f>'Operations costs'!C250</f>
        <v>0</v>
      </c>
      <c r="H30" s="959">
        <f t="shared" ref="H30:H35" si="4">SUM(C30:G30)</f>
        <v>0</v>
      </c>
      <c r="J30" s="960" t="s">
        <v>978</v>
      </c>
    </row>
    <row r="31" spans="2:10">
      <c r="B31" s="689" t="s">
        <v>0</v>
      </c>
      <c r="C31" s="959">
        <f>'Operations costs'!$C$253*'Operations costs'!C255</f>
        <v>0</v>
      </c>
      <c r="D31" s="959">
        <f>'Operations costs'!$C$253*'Operations costs'!C256</f>
        <v>0</v>
      </c>
      <c r="E31" s="959">
        <f>'Operations costs'!$C$253*'Operations costs'!C257</f>
        <v>0</v>
      </c>
      <c r="F31" s="959">
        <f>'Operations costs'!$C$253*'Operations costs'!C258</f>
        <v>0</v>
      </c>
      <c r="G31" s="959">
        <f>'Operations costs'!$C$253*'Operations costs'!C259</f>
        <v>0</v>
      </c>
      <c r="H31" s="959">
        <f t="shared" si="4"/>
        <v>0</v>
      </c>
      <c r="J31" s="960" t="s">
        <v>979</v>
      </c>
    </row>
    <row r="32" spans="2:10">
      <c r="B32" s="689" t="s">
        <v>38</v>
      </c>
      <c r="C32" s="959">
        <f>'Operations costs'!C263</f>
        <v>0</v>
      </c>
      <c r="D32" s="959">
        <f>'Operations costs'!C264</f>
        <v>0</v>
      </c>
      <c r="E32" s="959">
        <f>'Operations costs'!C265</f>
        <v>0</v>
      </c>
      <c r="F32" s="959">
        <f>'Operations costs'!C266</f>
        <v>0</v>
      </c>
      <c r="G32" s="959">
        <f>'Operations costs'!C267</f>
        <v>0</v>
      </c>
      <c r="H32" s="959">
        <f>SUM(C32:G32)</f>
        <v>0</v>
      </c>
      <c r="J32" s="960" t="s">
        <v>980</v>
      </c>
    </row>
    <row r="33" spans="2:10">
      <c r="B33" s="689" t="s">
        <v>40</v>
      </c>
      <c r="C33" s="959">
        <f>'Operations costs'!$C$270*'Operations costs'!C272</f>
        <v>0</v>
      </c>
      <c r="D33" s="959">
        <f>'Operations costs'!$C$270*'Operations costs'!C273</f>
        <v>0</v>
      </c>
      <c r="E33" s="959">
        <f>'Operations costs'!$C$270*'Operations costs'!C274</f>
        <v>0</v>
      </c>
      <c r="F33" s="959">
        <f>'Operations costs'!$C$270*'Operations costs'!C275</f>
        <v>0</v>
      </c>
      <c r="G33" s="959">
        <f>'Operations costs'!$C$270*'Operations costs'!C276</f>
        <v>0</v>
      </c>
      <c r="H33" s="959">
        <f t="shared" si="4"/>
        <v>0</v>
      </c>
      <c r="J33" s="960" t="s">
        <v>1599</v>
      </c>
    </row>
    <row r="34" spans="2:10" ht="15" customHeight="1">
      <c r="B34" s="689" t="s">
        <v>42</v>
      </c>
      <c r="C34" s="959">
        <f>'Operations costs'!$C$279*'Operations costs'!C281</f>
        <v>0</v>
      </c>
      <c r="D34" s="959">
        <f>'Operations costs'!$C$279*'Operations costs'!C282</f>
        <v>0</v>
      </c>
      <c r="E34" s="959">
        <f>'Operations costs'!$C$279*'Operations costs'!C283</f>
        <v>0</v>
      </c>
      <c r="F34" s="959">
        <f>'Operations costs'!$C$279*'Operations costs'!C284</f>
        <v>0</v>
      </c>
      <c r="G34" s="959">
        <f>'Operations costs'!$C$279*'Operations costs'!C285</f>
        <v>0</v>
      </c>
      <c r="H34" s="959">
        <f t="shared" si="4"/>
        <v>0</v>
      </c>
      <c r="J34" s="960" t="s">
        <v>981</v>
      </c>
    </row>
    <row r="35" spans="2:10" ht="15.75" thickBot="1">
      <c r="B35" s="745" t="s">
        <v>44</v>
      </c>
      <c r="C35" s="961">
        <f>'Operations costs'!$C$288*'Operations costs'!C290</f>
        <v>0</v>
      </c>
      <c r="D35" s="961">
        <f>'Operations costs'!$C$288*'Operations costs'!C291</f>
        <v>0</v>
      </c>
      <c r="E35" s="961">
        <f>'Operations costs'!$C$288*'Operations costs'!C292</f>
        <v>0</v>
      </c>
      <c r="F35" s="961">
        <f>'Operations costs'!$C$288*'Operations costs'!C293</f>
        <v>0</v>
      </c>
      <c r="G35" s="961">
        <f>'Operations costs'!$C$288*'Operations costs'!C294</f>
        <v>0</v>
      </c>
      <c r="H35" s="961">
        <f t="shared" si="4"/>
        <v>0</v>
      </c>
      <c r="J35" s="968" t="s">
        <v>982</v>
      </c>
    </row>
    <row r="36" spans="2:10" ht="15.75" hidden="1" thickTop="1">
      <c r="B36" s="747" t="s">
        <v>1461</v>
      </c>
      <c r="C36" s="959">
        <f>SUM(C22:C35)</f>
        <v>0</v>
      </c>
      <c r="D36" s="959">
        <f t="shared" ref="D36:H36" si="5">SUM(D22:D35)</f>
        <v>0</v>
      </c>
      <c r="E36" s="959">
        <f t="shared" si="5"/>
        <v>0</v>
      </c>
      <c r="F36" s="959">
        <f t="shared" si="5"/>
        <v>0</v>
      </c>
      <c r="G36" s="959">
        <f t="shared" si="5"/>
        <v>0</v>
      </c>
      <c r="H36" s="959">
        <f t="shared" si="5"/>
        <v>0</v>
      </c>
    </row>
    <row r="37" spans="2:10" hidden="1">
      <c r="B37" s="747" t="s">
        <v>631</v>
      </c>
      <c r="C37" s="959">
        <f>SUM(C11,C20)</f>
        <v>0</v>
      </c>
      <c r="D37" s="959">
        <f t="shared" ref="D37:H37" si="6">SUM(D11,D20)</f>
        <v>0</v>
      </c>
      <c r="E37" s="959">
        <f t="shared" si="6"/>
        <v>0</v>
      </c>
      <c r="F37" s="959">
        <f t="shared" si="6"/>
        <v>0</v>
      </c>
      <c r="G37" s="959">
        <f t="shared" si="6"/>
        <v>0</v>
      </c>
      <c r="H37" s="959">
        <f t="shared" si="6"/>
        <v>0</v>
      </c>
    </row>
    <row r="38" spans="2:10" ht="15.75" thickTop="1">
      <c r="B38" s="747" t="s">
        <v>630</v>
      </c>
      <c r="C38" s="959">
        <f>SUM(C22:C35)</f>
        <v>0</v>
      </c>
      <c r="D38" s="959">
        <f t="shared" ref="D38:H38" si="7">SUM(D22:D35)</f>
        <v>0</v>
      </c>
      <c r="E38" s="959">
        <f t="shared" si="7"/>
        <v>0</v>
      </c>
      <c r="F38" s="959">
        <f t="shared" si="7"/>
        <v>0</v>
      </c>
      <c r="G38" s="959">
        <f t="shared" si="7"/>
        <v>0</v>
      </c>
      <c r="H38" s="959">
        <f t="shared" si="7"/>
        <v>0</v>
      </c>
    </row>
    <row r="39" spans="2:10">
      <c r="B39" s="974" t="s">
        <v>1731</v>
      </c>
      <c r="C39" s="975"/>
      <c r="D39" s="975"/>
      <c r="E39" s="975"/>
      <c r="F39" s="975"/>
      <c r="G39" s="975"/>
      <c r="H39" s="975"/>
    </row>
    <row r="40" spans="2:10">
      <c r="B40" s="689" t="str">
        <f>'Cybersecurity costs'!$B$7</f>
        <v>Assessment and planning</v>
      </c>
      <c r="C40" s="959">
        <f>'Cybersecurity costs'!C13*'Cybersecurity costs'!C14+'Cybersecurity costs'!C17+'Cybersecurity costs'!C20</f>
        <v>0</v>
      </c>
      <c r="D40" s="959"/>
      <c r="E40" s="959"/>
      <c r="F40" s="959"/>
      <c r="G40" s="959"/>
      <c r="H40" s="959">
        <f t="shared" ref="H40:H52" si="8">SUM(C40:G40)</f>
        <v>0</v>
      </c>
    </row>
    <row r="41" spans="2:10">
      <c r="B41" s="689" t="str">
        <f>'Cybersecurity costs'!$B$33</f>
        <v>Policies and documentation</v>
      </c>
      <c r="C41" s="959">
        <f>'Cybersecurity costs'!C38*'Cybersecurity costs'!C39+'Cybersecurity costs'!C42+'Cybersecurity costs'!C45</f>
        <v>0</v>
      </c>
      <c r="D41" s="959"/>
      <c r="E41" s="959"/>
      <c r="F41" s="959"/>
      <c r="G41" s="959"/>
      <c r="H41" s="959">
        <f t="shared" si="8"/>
        <v>0</v>
      </c>
    </row>
    <row r="42" spans="2:10">
      <c r="B42" s="689" t="str">
        <f>'Cybersecurity costs'!$B$58</f>
        <v>Identification, authentication, and access control</v>
      </c>
      <c r="C42" s="959">
        <f>'Cybersecurity costs'!C63*'Cybersecurity costs'!C64+'Cybersecurity costs'!C69+'Cybersecurity costs'!C72+'Cybersecurity costs'!C75</f>
        <v>0</v>
      </c>
      <c r="D42" s="959"/>
      <c r="E42" s="959"/>
      <c r="F42" s="959"/>
      <c r="G42" s="959"/>
      <c r="H42" s="959">
        <f t="shared" si="8"/>
        <v>0</v>
      </c>
    </row>
    <row r="43" spans="2:10">
      <c r="B43" s="689" t="str">
        <f>'Cybersecurity costs'!$B$93</f>
        <v>Software safeguards</v>
      </c>
      <c r="C43" s="959">
        <f>'Cybersecurity costs'!C98*'Cybersecurity costs'!C99+'Cybersecurity costs'!C102+'Cybersecurity costs'!C105+'Cybersecurity costs'!C108</f>
        <v>0</v>
      </c>
      <c r="D43" s="959"/>
      <c r="E43" s="959"/>
      <c r="F43" s="959"/>
      <c r="G43" s="959"/>
      <c r="H43" s="959">
        <f t="shared" si="8"/>
        <v>0</v>
      </c>
    </row>
    <row r="44" spans="2:10">
      <c r="B44" s="689" t="str">
        <f>'Cybersecurity costs'!$B$124</f>
        <v>Data backup and recovery</v>
      </c>
      <c r="C44" s="959">
        <f>'Cybersecurity costs'!C129*'Cybersecurity costs'!C130+'Cybersecurity costs'!C135+'Cybersecurity costs'!C138+'Cybersecurity costs'!C141</f>
        <v>0</v>
      </c>
      <c r="D44" s="959"/>
      <c r="E44" s="959"/>
      <c r="F44" s="959"/>
      <c r="G44" s="959"/>
      <c r="H44" s="959">
        <f t="shared" si="8"/>
        <v>0</v>
      </c>
    </row>
    <row r="45" spans="2:10">
      <c r="B45" s="689" t="str">
        <f>'Cybersecurity costs'!$B$159</f>
        <v>Incident response</v>
      </c>
      <c r="C45" s="959">
        <f>'Cybersecurity costs'!C165*'Cybersecurity costs'!C166+'Cybersecurity costs'!C169+'Cybersecurity costs'!C172+'Cybersecurity costs'!C175</f>
        <v>0</v>
      </c>
      <c r="D45" s="959"/>
      <c r="E45" s="959"/>
      <c r="F45" s="959"/>
      <c r="G45" s="959"/>
      <c r="H45" s="959">
        <f t="shared" si="8"/>
        <v>0</v>
      </c>
    </row>
    <row r="46" spans="2:10">
      <c r="B46" s="689" t="str">
        <f>'Cybersecurity costs'!$B$191</f>
        <v>System monitoring</v>
      </c>
      <c r="C46" s="959">
        <f>'Cybersecurity costs'!C196*'Cybersecurity costs'!C197+'Cybersecurity costs'!C200+'Cybersecurity costs'!C203+'Cybersecurity costs'!C206</f>
        <v>0</v>
      </c>
      <c r="D46" s="959"/>
      <c r="E46" s="959"/>
      <c r="F46" s="959"/>
      <c r="G46" s="959"/>
      <c r="H46" s="959">
        <f t="shared" si="8"/>
        <v>0</v>
      </c>
    </row>
    <row r="47" spans="2:10">
      <c r="B47" s="689" t="str">
        <f>'Cybersecurity costs'!$B$222</f>
        <v>Physical security</v>
      </c>
      <c r="C47" s="959">
        <f>'Cybersecurity costs'!C227*'Cybersecurity costs'!C228+'Cybersecurity costs'!C233+'Cybersecurity costs'!C236</f>
        <v>0</v>
      </c>
      <c r="D47" s="959"/>
      <c r="E47" s="959"/>
      <c r="F47" s="959"/>
      <c r="G47" s="959"/>
      <c r="H47" s="959">
        <f t="shared" si="8"/>
        <v>0</v>
      </c>
    </row>
    <row r="48" spans="2:10">
      <c r="B48" s="689" t="str">
        <f>'Cybersecurity costs'!$B$251</f>
        <v>Device management and disposal</v>
      </c>
      <c r="C48" s="959">
        <f>'Cybersecurity costs'!C256*'Cybersecurity costs'!C257+'Cybersecurity costs'!C262+'Cybersecurity costs'!C265</f>
        <v>0</v>
      </c>
      <c r="D48" s="959"/>
      <c r="E48" s="959"/>
      <c r="F48" s="959"/>
      <c r="G48" s="959"/>
      <c r="H48" s="959">
        <f t="shared" si="8"/>
        <v>0</v>
      </c>
    </row>
    <row r="49" spans="2:8">
      <c r="B49" s="689" t="str">
        <f>'Cybersecurity costs'!$B$280</f>
        <v>Audits and testing</v>
      </c>
      <c r="C49" s="959">
        <f>'Cybersecurity costs'!C285*'Cybersecurity costs'!C286+'Cybersecurity costs'!C289+'Cybersecurity costs'!C292</f>
        <v>0</v>
      </c>
      <c r="D49" s="959"/>
      <c r="E49" s="959"/>
      <c r="F49" s="959"/>
      <c r="G49" s="959"/>
      <c r="H49" s="959">
        <f t="shared" si="8"/>
        <v>0</v>
      </c>
    </row>
    <row r="50" spans="2:8">
      <c r="B50" s="689" t="str">
        <f>'Cybersecurity costs'!$B$305</f>
        <v>Configuration and updates</v>
      </c>
      <c r="C50" s="959">
        <f>'Cybersecurity costs'!C310*'Cybersecurity costs'!C311+'Cybersecurity costs'!C314+'Cybersecurity costs'!C317+'Cybersecurity costs'!C320</f>
        <v>0</v>
      </c>
      <c r="D50" s="959"/>
      <c r="E50" s="959"/>
      <c r="F50" s="959"/>
      <c r="G50" s="959"/>
      <c r="H50" s="959">
        <f t="shared" si="8"/>
        <v>0</v>
      </c>
    </row>
    <row r="51" spans="2:8">
      <c r="B51" s="689" t="str">
        <f>'Cybersecurity costs'!$B$336</f>
        <v>Network and transmission</v>
      </c>
      <c r="C51" s="959">
        <f>'Cybersecurity costs'!C341*'Cybersecurity costs'!C342+'Cybersecurity costs'!C347+'Cybersecurity costs'!C350+'Cybersecurity costs'!C353</f>
        <v>0</v>
      </c>
      <c r="D51" s="959"/>
      <c r="E51" s="959"/>
      <c r="F51" s="959"/>
      <c r="G51" s="959"/>
      <c r="H51" s="959">
        <f t="shared" si="8"/>
        <v>0</v>
      </c>
    </row>
    <row r="52" spans="2:8" ht="15.75" thickBot="1">
      <c r="B52" s="745" t="str">
        <f>'Cybersecurity costs'!$B$371</f>
        <v>Training and professional development</v>
      </c>
      <c r="C52" s="961">
        <f>IFERROR('Cybersecurity costs'!C377+
('Cybersecurity costs'!C378*'Cybersecurity costs'!C379*'Cybersecurity costs'!C380)+
(IF('Cybersecurity costs'!C381="",0,ROUNDUP('Cybersecurity costs'!C379/'Cybersecurity costs'!C381,0))*'Cybersecurity costs'!C382*'Cybersecurity costs'!C378*('Cybersecurity costs'!C383+'Cybersecurity costs'!C384)+
('Cybersecurity costs'!C385*'Cybersecurity costs'!C378)),"-")+
'Cybersecurity costs'!C388</f>
        <v>0</v>
      </c>
      <c r="D52" s="961"/>
      <c r="E52" s="961"/>
      <c r="F52" s="961"/>
      <c r="G52" s="961"/>
      <c r="H52" s="961">
        <f t="shared" si="8"/>
        <v>0</v>
      </c>
    </row>
    <row r="53" spans="2:8" ht="15.75" thickTop="1">
      <c r="B53" s="747" t="s">
        <v>630</v>
      </c>
      <c r="C53" s="959">
        <f>SUM(C40:C52)</f>
        <v>0</v>
      </c>
      <c r="D53" s="959">
        <f t="shared" ref="D53:H53" si="9">SUM(D40:D52)</f>
        <v>0</v>
      </c>
      <c r="E53" s="959">
        <f t="shared" si="9"/>
        <v>0</v>
      </c>
      <c r="F53" s="959">
        <f t="shared" si="9"/>
        <v>0</v>
      </c>
      <c r="G53" s="959">
        <f t="shared" si="9"/>
        <v>0</v>
      </c>
      <c r="H53" s="959">
        <f t="shared" si="9"/>
        <v>0</v>
      </c>
    </row>
    <row r="54" spans="2:8">
      <c r="B54" s="743" t="s">
        <v>1732</v>
      </c>
      <c r="C54" s="962"/>
      <c r="D54" s="962"/>
      <c r="E54" s="962"/>
      <c r="F54" s="962"/>
      <c r="G54" s="962"/>
      <c r="H54" s="962"/>
    </row>
    <row r="55" spans="2:8">
      <c r="B55" s="689" t="str">
        <f>'Cybersecurity costs'!$B$7</f>
        <v>Assessment and planning</v>
      </c>
      <c r="C55" s="959">
        <f>'Cybersecurity costs'!$C$24*'Cybersecurity costs'!$C$25+'Cybersecurity costs'!$C$28+'Cybersecurity costs'!$C$31</f>
        <v>0</v>
      </c>
      <c r="D55" s="959">
        <f>'Cybersecurity costs'!$C$24*'Cybersecurity costs'!$C$25+'Cybersecurity costs'!$C$28+'Cybersecurity costs'!$C$31</f>
        <v>0</v>
      </c>
      <c r="E55" s="959">
        <f>'Cybersecurity costs'!$C$24*'Cybersecurity costs'!$C$25+'Cybersecurity costs'!$C$28+'Cybersecurity costs'!$C$31</f>
        <v>0</v>
      </c>
      <c r="F55" s="959">
        <f>'Cybersecurity costs'!$C$24*'Cybersecurity costs'!$C$25+'Cybersecurity costs'!$C$28+'Cybersecurity costs'!$C$31</f>
        <v>0</v>
      </c>
      <c r="G55" s="959">
        <f>'Cybersecurity costs'!$C$24*'Cybersecurity costs'!$C$25+'Cybersecurity costs'!$C$28+'Cybersecurity costs'!$C$31</f>
        <v>0</v>
      </c>
      <c r="H55" s="959">
        <f t="shared" ref="H55:H67" si="10">SUM(C55:G55)</f>
        <v>0</v>
      </c>
    </row>
    <row r="56" spans="2:8">
      <c r="B56" s="689" t="str">
        <f>'Cybersecurity costs'!$B$33</f>
        <v>Policies and documentation</v>
      </c>
      <c r="C56" s="959">
        <f>'Cybersecurity costs'!$C$49*'Cybersecurity costs'!$C$50+'Cybersecurity costs'!$C$53+'Cybersecurity costs'!$C$56</f>
        <v>0</v>
      </c>
      <c r="D56" s="959">
        <f>'Cybersecurity costs'!$C$49*'Cybersecurity costs'!$C$50+'Cybersecurity costs'!$C$53+'Cybersecurity costs'!$C$56</f>
        <v>0</v>
      </c>
      <c r="E56" s="959">
        <f>'Cybersecurity costs'!$C$49*'Cybersecurity costs'!$C$50+'Cybersecurity costs'!$C$53+'Cybersecurity costs'!$C$56</f>
        <v>0</v>
      </c>
      <c r="F56" s="959">
        <f>'Cybersecurity costs'!$C$49*'Cybersecurity costs'!$C$50+'Cybersecurity costs'!$C$53+'Cybersecurity costs'!$C$56</f>
        <v>0</v>
      </c>
      <c r="G56" s="959">
        <f>'Cybersecurity costs'!$C$49*'Cybersecurity costs'!$C$50+'Cybersecurity costs'!$C$53+'Cybersecurity costs'!$C$56</f>
        <v>0</v>
      </c>
      <c r="H56" s="959">
        <f t="shared" si="10"/>
        <v>0</v>
      </c>
    </row>
    <row r="57" spans="2:8">
      <c r="B57" s="689" t="str">
        <f>'Cybersecurity costs'!$B$58</f>
        <v>Identification, authentication, and access control</v>
      </c>
      <c r="C57" s="959">
        <f>'Cybersecurity costs'!$C$79*'Cybersecurity costs'!$C$80+'Cybersecurity costs'!$C$85+'Cybersecurity costs'!$C$88+'Cybersecurity costs'!$C$91</f>
        <v>0</v>
      </c>
      <c r="D57" s="959">
        <f>'Cybersecurity costs'!$C$79*'Cybersecurity costs'!$C$80+'Cybersecurity costs'!$C$85+'Cybersecurity costs'!$C$88+'Cybersecurity costs'!$C$91</f>
        <v>0</v>
      </c>
      <c r="E57" s="959">
        <f>'Cybersecurity costs'!$C$79*'Cybersecurity costs'!$C$80+'Cybersecurity costs'!$C$85+'Cybersecurity costs'!$C$88+'Cybersecurity costs'!$C$91</f>
        <v>0</v>
      </c>
      <c r="F57" s="959">
        <f>'Cybersecurity costs'!$C$79*'Cybersecurity costs'!$C$80+'Cybersecurity costs'!$C$85+'Cybersecurity costs'!$C$88+'Cybersecurity costs'!$C$91</f>
        <v>0</v>
      </c>
      <c r="G57" s="959">
        <f>'Cybersecurity costs'!$C$79*'Cybersecurity costs'!$C$80+'Cybersecurity costs'!$C$85+'Cybersecurity costs'!$C$88+'Cybersecurity costs'!$C$91</f>
        <v>0</v>
      </c>
      <c r="H57" s="959">
        <f t="shared" si="10"/>
        <v>0</v>
      </c>
    </row>
    <row r="58" spans="2:8">
      <c r="B58" s="689" t="str">
        <f>'Cybersecurity costs'!$B$93</f>
        <v>Software safeguards</v>
      </c>
      <c r="C58" s="959">
        <f>'Cybersecurity costs'!$C$112*'Cybersecurity costs'!$C$113+'Cybersecurity costs'!$C$116+'Cybersecurity costs'!$C$119+'Cybersecurity costs'!$C$122</f>
        <v>0</v>
      </c>
      <c r="D58" s="959">
        <f>'Cybersecurity costs'!$C$112*'Cybersecurity costs'!$C$113+'Cybersecurity costs'!$C$116+'Cybersecurity costs'!$C$119+'Cybersecurity costs'!$C$122</f>
        <v>0</v>
      </c>
      <c r="E58" s="959">
        <f>'Cybersecurity costs'!$C$112*'Cybersecurity costs'!$C$113+'Cybersecurity costs'!$C$116+'Cybersecurity costs'!$C$119+'Cybersecurity costs'!$C$122</f>
        <v>0</v>
      </c>
      <c r="F58" s="959">
        <f>'Cybersecurity costs'!$C$112*'Cybersecurity costs'!$C$113+'Cybersecurity costs'!$C$116+'Cybersecurity costs'!$C$119+'Cybersecurity costs'!$C$122</f>
        <v>0</v>
      </c>
      <c r="G58" s="959">
        <f>'Cybersecurity costs'!$C$112*'Cybersecurity costs'!$C$113+'Cybersecurity costs'!$C$116+'Cybersecurity costs'!$C$119+'Cybersecurity costs'!$C$122</f>
        <v>0</v>
      </c>
      <c r="H58" s="959">
        <f t="shared" si="10"/>
        <v>0</v>
      </c>
    </row>
    <row r="59" spans="2:8">
      <c r="B59" s="689" t="str">
        <f>'Cybersecurity costs'!$B$124</f>
        <v>Data backup and recovery</v>
      </c>
      <c r="C59" s="959">
        <f>'Cybersecurity costs'!$C$145*'Cybersecurity costs'!$C$146+'Cybersecurity costs'!$C$151+'Cybersecurity costs'!$C$154+'Cybersecurity costs'!$C$157</f>
        <v>0</v>
      </c>
      <c r="D59" s="959">
        <f>'Cybersecurity costs'!$C$145*'Cybersecurity costs'!$C$146+'Cybersecurity costs'!$C$151+'Cybersecurity costs'!$C$154+'Cybersecurity costs'!$C$157</f>
        <v>0</v>
      </c>
      <c r="E59" s="959">
        <f>'Cybersecurity costs'!$C$145*'Cybersecurity costs'!$C$146+'Cybersecurity costs'!$C$151+'Cybersecurity costs'!$C$154+'Cybersecurity costs'!$C$157</f>
        <v>0</v>
      </c>
      <c r="F59" s="959">
        <f>'Cybersecurity costs'!$C$145*'Cybersecurity costs'!$C$146+'Cybersecurity costs'!$C$151+'Cybersecurity costs'!$C$154+'Cybersecurity costs'!$C$157</f>
        <v>0</v>
      </c>
      <c r="G59" s="959">
        <f>'Cybersecurity costs'!$C$145*'Cybersecurity costs'!$C$146+'Cybersecurity costs'!$C$151+'Cybersecurity costs'!$C$154+'Cybersecurity costs'!$C$157</f>
        <v>0</v>
      </c>
      <c r="H59" s="959">
        <f t="shared" si="10"/>
        <v>0</v>
      </c>
    </row>
    <row r="60" spans="2:8">
      <c r="B60" s="689" t="str">
        <f>'Cybersecurity costs'!$B$159</f>
        <v>Incident response</v>
      </c>
      <c r="C60" s="959">
        <f>'Cybersecurity costs'!$C$179*'Cybersecurity costs'!$C$180+'Cybersecurity costs'!$C$183+'Cybersecurity costs'!$C$186+'Cybersecurity costs'!$C$189</f>
        <v>0</v>
      </c>
      <c r="D60" s="959">
        <f>'Cybersecurity costs'!$C$179*'Cybersecurity costs'!$C$180+'Cybersecurity costs'!$C$183+'Cybersecurity costs'!$C$186+'Cybersecurity costs'!$C$189</f>
        <v>0</v>
      </c>
      <c r="E60" s="959">
        <f>'Cybersecurity costs'!$C$179*'Cybersecurity costs'!$C$180+'Cybersecurity costs'!$C$183+'Cybersecurity costs'!$C$186+'Cybersecurity costs'!$C$189</f>
        <v>0</v>
      </c>
      <c r="F60" s="959">
        <f>'Cybersecurity costs'!$C$179*'Cybersecurity costs'!$C$180+'Cybersecurity costs'!$C$183+'Cybersecurity costs'!$C$186+'Cybersecurity costs'!$C$189</f>
        <v>0</v>
      </c>
      <c r="G60" s="959">
        <f>'Cybersecurity costs'!$C$179*'Cybersecurity costs'!$C$180+'Cybersecurity costs'!$C$183+'Cybersecurity costs'!$C$186+'Cybersecurity costs'!$C$189</f>
        <v>0</v>
      </c>
      <c r="H60" s="959">
        <f t="shared" si="10"/>
        <v>0</v>
      </c>
    </row>
    <row r="61" spans="2:8">
      <c r="B61" s="689" t="str">
        <f>'Cybersecurity costs'!$B$191</f>
        <v>System monitoring</v>
      </c>
      <c r="C61" s="959">
        <f>'Cybersecurity costs'!$C$210*'Cybersecurity costs'!$C$211+'Cybersecurity costs'!$C$214+'Cybersecurity costs'!$C$217+'Cybersecurity costs'!$C$220</f>
        <v>0</v>
      </c>
      <c r="D61" s="959">
        <f>'Cybersecurity costs'!$C$210*'Cybersecurity costs'!$C$211+'Cybersecurity costs'!$C$214+'Cybersecurity costs'!$C$217+'Cybersecurity costs'!$C$220</f>
        <v>0</v>
      </c>
      <c r="E61" s="959">
        <f>'Cybersecurity costs'!$C$210*'Cybersecurity costs'!$C$211+'Cybersecurity costs'!$C$214+'Cybersecurity costs'!$C$217+'Cybersecurity costs'!$C$220</f>
        <v>0</v>
      </c>
      <c r="F61" s="959">
        <f>'Cybersecurity costs'!$C$210*'Cybersecurity costs'!$C$211+'Cybersecurity costs'!$C$214+'Cybersecurity costs'!$C$217+'Cybersecurity costs'!$C$220</f>
        <v>0</v>
      </c>
      <c r="G61" s="959">
        <f>'Cybersecurity costs'!$C$210*'Cybersecurity costs'!$C$211+'Cybersecurity costs'!$C$214+'Cybersecurity costs'!$C$217+'Cybersecurity costs'!$C$220</f>
        <v>0</v>
      </c>
      <c r="H61" s="959">
        <f t="shared" si="10"/>
        <v>0</v>
      </c>
    </row>
    <row r="62" spans="2:8">
      <c r="B62" s="689" t="str">
        <f>'Cybersecurity costs'!$B$222</f>
        <v>Physical security</v>
      </c>
      <c r="C62" s="959">
        <f>'Cybersecurity costs'!$C$240*'Cybersecurity costs'!$C$241+'Cybersecurity costs'!$C$246+'Cybersecurity costs'!$C$249</f>
        <v>0</v>
      </c>
      <c r="D62" s="959">
        <f>'Cybersecurity costs'!$C$240*'Cybersecurity costs'!$C$241+'Cybersecurity costs'!$C$246+'Cybersecurity costs'!$C$249</f>
        <v>0</v>
      </c>
      <c r="E62" s="959">
        <f>'Cybersecurity costs'!$C$240*'Cybersecurity costs'!$C$241+'Cybersecurity costs'!$C$246+'Cybersecurity costs'!$C$249</f>
        <v>0</v>
      </c>
      <c r="F62" s="959">
        <f>'Cybersecurity costs'!$C$240*'Cybersecurity costs'!$C$241+'Cybersecurity costs'!$C$246+'Cybersecurity costs'!$C$249</f>
        <v>0</v>
      </c>
      <c r="G62" s="959">
        <f>'Cybersecurity costs'!$C$240*'Cybersecurity costs'!$C$241+'Cybersecurity costs'!$C$246+'Cybersecurity costs'!$C$249</f>
        <v>0</v>
      </c>
      <c r="H62" s="959">
        <f t="shared" si="10"/>
        <v>0</v>
      </c>
    </row>
    <row r="63" spans="2:8">
      <c r="B63" s="689" t="str">
        <f>'Cybersecurity costs'!$B$251</f>
        <v>Device management and disposal</v>
      </c>
      <c r="C63" s="959">
        <f>'Cybersecurity costs'!$C$269*'Cybersecurity costs'!$C$270+'Cybersecurity costs'!$C$275+'Cybersecurity costs'!$C$278</f>
        <v>0</v>
      </c>
      <c r="D63" s="959">
        <f>'Cybersecurity costs'!$C$269*'Cybersecurity costs'!$C$270+'Cybersecurity costs'!$C$275+'Cybersecurity costs'!$C$278</f>
        <v>0</v>
      </c>
      <c r="E63" s="959">
        <f>'Cybersecurity costs'!$C$269*'Cybersecurity costs'!$C$270+'Cybersecurity costs'!$C$275+'Cybersecurity costs'!$C$278</f>
        <v>0</v>
      </c>
      <c r="F63" s="959">
        <f>'Cybersecurity costs'!$C$269*'Cybersecurity costs'!$C$270+'Cybersecurity costs'!$C$275+'Cybersecurity costs'!$C$278</f>
        <v>0</v>
      </c>
      <c r="G63" s="959">
        <f>'Cybersecurity costs'!$C$269*'Cybersecurity costs'!$C$270+'Cybersecurity costs'!$C$275+'Cybersecurity costs'!$C$278</f>
        <v>0</v>
      </c>
      <c r="H63" s="959">
        <f t="shared" si="10"/>
        <v>0</v>
      </c>
    </row>
    <row r="64" spans="2:8">
      <c r="B64" s="689" t="str">
        <f>'Cybersecurity costs'!$B$280</f>
        <v>Audits and testing</v>
      </c>
      <c r="C64" s="959">
        <f>'Cybersecurity costs'!$C$296*'Cybersecurity costs'!$C$297+'Cybersecurity costs'!$C$300+'Cybersecurity costs'!$C$303</f>
        <v>0</v>
      </c>
      <c r="D64" s="959">
        <f>'Cybersecurity costs'!$C$296*'Cybersecurity costs'!$C$297+'Cybersecurity costs'!$C$300+'Cybersecurity costs'!$C$303</f>
        <v>0</v>
      </c>
      <c r="E64" s="959">
        <f>'Cybersecurity costs'!$C$296*'Cybersecurity costs'!$C$297+'Cybersecurity costs'!$C$300+'Cybersecurity costs'!$C$303</f>
        <v>0</v>
      </c>
      <c r="F64" s="959">
        <f>'Cybersecurity costs'!$C$296*'Cybersecurity costs'!$C$297+'Cybersecurity costs'!$C$300+'Cybersecurity costs'!$C$303</f>
        <v>0</v>
      </c>
      <c r="G64" s="959">
        <f>'Cybersecurity costs'!$C$296*'Cybersecurity costs'!$C$297+'Cybersecurity costs'!$C$300+'Cybersecurity costs'!$C$303</f>
        <v>0</v>
      </c>
      <c r="H64" s="959">
        <f t="shared" si="10"/>
        <v>0</v>
      </c>
    </row>
    <row r="65" spans="2:8">
      <c r="B65" s="689" t="str">
        <f>'Cybersecurity costs'!$B$305</f>
        <v>Configuration and updates</v>
      </c>
      <c r="C65" s="959">
        <f>'Cybersecurity costs'!$C$324*'Cybersecurity costs'!$C$325+'Cybersecurity costs'!$C$328+'Cybersecurity costs'!$C$331+'Cybersecurity costs'!$C$334</f>
        <v>0</v>
      </c>
      <c r="D65" s="959">
        <f>'Cybersecurity costs'!$C$324*'Cybersecurity costs'!$C$325+'Cybersecurity costs'!$C$328+'Cybersecurity costs'!$C$331+'Cybersecurity costs'!$C$334</f>
        <v>0</v>
      </c>
      <c r="E65" s="959">
        <f>'Cybersecurity costs'!$C$324*'Cybersecurity costs'!$C$325+'Cybersecurity costs'!$C$328+'Cybersecurity costs'!$C$331+'Cybersecurity costs'!$C$334</f>
        <v>0</v>
      </c>
      <c r="F65" s="959">
        <f>'Cybersecurity costs'!$C$324*'Cybersecurity costs'!$C$325+'Cybersecurity costs'!$C$328+'Cybersecurity costs'!$C$331+'Cybersecurity costs'!$C$334</f>
        <v>0</v>
      </c>
      <c r="G65" s="959">
        <f>'Cybersecurity costs'!$C$324*'Cybersecurity costs'!$C$325+'Cybersecurity costs'!$C$328+'Cybersecurity costs'!$C$331+'Cybersecurity costs'!$C$334</f>
        <v>0</v>
      </c>
      <c r="H65" s="959">
        <f t="shared" si="10"/>
        <v>0</v>
      </c>
    </row>
    <row r="66" spans="2:8">
      <c r="B66" s="689" t="str">
        <f>'Cybersecurity costs'!$B$336</f>
        <v>Network and transmission</v>
      </c>
      <c r="C66" s="959">
        <f>'Cybersecurity costs'!$C$357*'Cybersecurity costs'!$C$358+'Cybersecurity costs'!$C$363+'Cybersecurity costs'!$C$366+'Cybersecurity costs'!$C$369</f>
        <v>0</v>
      </c>
      <c r="D66" s="959">
        <f>'Cybersecurity costs'!$C$357*'Cybersecurity costs'!$C$358+'Cybersecurity costs'!$C$363+'Cybersecurity costs'!$C$366+'Cybersecurity costs'!$C$369</f>
        <v>0</v>
      </c>
      <c r="E66" s="959">
        <f>'Cybersecurity costs'!$C$357*'Cybersecurity costs'!$C$358+'Cybersecurity costs'!$C$363+'Cybersecurity costs'!$C$366+'Cybersecurity costs'!$C$369</f>
        <v>0</v>
      </c>
      <c r="F66" s="959">
        <f>'Cybersecurity costs'!$C$357*'Cybersecurity costs'!$C$358+'Cybersecurity costs'!$C$363+'Cybersecurity costs'!$C$366+'Cybersecurity costs'!$C$369</f>
        <v>0</v>
      </c>
      <c r="G66" s="959">
        <f>'Cybersecurity costs'!$C$357*'Cybersecurity costs'!$C$358+'Cybersecurity costs'!$C$363+'Cybersecurity costs'!$C$366+'Cybersecurity costs'!$C$369</f>
        <v>0</v>
      </c>
      <c r="H66" s="959">
        <f t="shared" si="10"/>
        <v>0</v>
      </c>
    </row>
    <row r="67" spans="2:8" ht="15.75" thickBot="1">
      <c r="B67" s="745" t="str">
        <f>'Cybersecurity costs'!$B$371</f>
        <v>Training and professional development</v>
      </c>
      <c r="C67" s="961">
        <f>IFERROR('Cybersecurity costs'!$C$393+
('Cybersecurity costs'!$C$394*'Cybersecurity costs'!$C$395*'Cybersecurity costs'!$C$396)+
(IF('Cybersecurity costs'!$C$397="",0,ROUNDUP('Cybersecurity costs'!$C$395/'Cybersecurity costs'!$C$397,0))*'Cybersecurity costs'!$C$398*'Cybersecurity costs'!$C$394*('Cybersecurity costs'!$C$399+'Cybersecurity costs'!$C$400)+
('Cybersecurity costs'!$C$401*'Cybersecurity costs'!$C$394)),"-")+
'Cybersecurity costs'!$C$404</f>
        <v>0</v>
      </c>
      <c r="D67" s="961">
        <f>IFERROR('Cybersecurity costs'!$C$393+
('Cybersecurity costs'!$C$394*'Cybersecurity costs'!$C$395*'Cybersecurity costs'!$C$396)+
(IF('Cybersecurity costs'!$C$397="",0,ROUNDUP('Cybersecurity costs'!$C$395/'Cybersecurity costs'!$C$397,0))*'Cybersecurity costs'!$C$398*'Cybersecurity costs'!$C$394*('Cybersecurity costs'!$C$399+'Cybersecurity costs'!$C$400)+
('Cybersecurity costs'!$C$401*'Cybersecurity costs'!$C$394)),"-")+
'Cybersecurity costs'!$C$404</f>
        <v>0</v>
      </c>
      <c r="E67" s="961">
        <f>IFERROR('Cybersecurity costs'!$C$393+
('Cybersecurity costs'!$C$394*'Cybersecurity costs'!$C$395*'Cybersecurity costs'!$C$396)+
(IF('Cybersecurity costs'!$C$397="",0,ROUNDUP('Cybersecurity costs'!$C$395/'Cybersecurity costs'!$C$397,0))*'Cybersecurity costs'!$C$398*'Cybersecurity costs'!$C$394*('Cybersecurity costs'!$C$399+'Cybersecurity costs'!$C$400)+
('Cybersecurity costs'!$C$401*'Cybersecurity costs'!$C$394)),"-")+
'Cybersecurity costs'!$C$404</f>
        <v>0</v>
      </c>
      <c r="F67" s="961">
        <f>IFERROR('Cybersecurity costs'!$C$393+
('Cybersecurity costs'!$C$394*'Cybersecurity costs'!$C$395*'Cybersecurity costs'!$C$396)+
(IF('Cybersecurity costs'!$C$397="",0,ROUNDUP('Cybersecurity costs'!$C$395/'Cybersecurity costs'!$C$397,0))*'Cybersecurity costs'!$C$398*'Cybersecurity costs'!$C$394*('Cybersecurity costs'!$C$399+'Cybersecurity costs'!$C$400)+
('Cybersecurity costs'!$C$401*'Cybersecurity costs'!$C$394)),"-")+
'Cybersecurity costs'!$C$404</f>
        <v>0</v>
      </c>
      <c r="G67" s="961">
        <f>IFERROR('Cybersecurity costs'!$C$393+
('Cybersecurity costs'!$C$394*'Cybersecurity costs'!$C$395*'Cybersecurity costs'!$C$396)+
(IF('Cybersecurity costs'!$C$397="",0,ROUNDUP('Cybersecurity costs'!$C$395/'Cybersecurity costs'!$C$397,0))*'Cybersecurity costs'!$C$398*'Cybersecurity costs'!$C$394*('Cybersecurity costs'!$C$399+'Cybersecurity costs'!$C$400)+
('Cybersecurity costs'!$C$401*'Cybersecurity costs'!$C$394)),"-")+
'Cybersecurity costs'!$C$404</f>
        <v>0</v>
      </c>
      <c r="H67" s="961">
        <f t="shared" si="10"/>
        <v>0</v>
      </c>
    </row>
    <row r="68" spans="2:8" ht="15.75" thickTop="1">
      <c r="B68" s="747" t="s">
        <v>630</v>
      </c>
      <c r="C68" s="959">
        <f>SUM(C55:C67)</f>
        <v>0</v>
      </c>
      <c r="D68" s="959">
        <f t="shared" ref="D68" si="11">SUM(D55:D67)</f>
        <v>0</v>
      </c>
      <c r="E68" s="959">
        <f t="shared" ref="E68" si="12">SUM(E55:E67)</f>
        <v>0</v>
      </c>
      <c r="F68" s="959">
        <f t="shared" ref="F68" si="13">SUM(F55:F67)</f>
        <v>0</v>
      </c>
      <c r="G68" s="959">
        <f t="shared" ref="G68" si="14">SUM(G55:G67)</f>
        <v>0</v>
      </c>
      <c r="H68" s="959">
        <f t="shared" ref="H68" si="15">SUM(H55:H67)</f>
        <v>0</v>
      </c>
    </row>
    <row r="69" spans="2:8">
      <c r="B69" s="734" t="s">
        <v>632</v>
      </c>
      <c r="C69" s="969">
        <f>SUM(C11,C20,C38,C53,C68)</f>
        <v>0</v>
      </c>
      <c r="D69" s="969">
        <f t="shared" ref="D69:H69" si="16">SUM(D11,D20,D38,D53,D68)</f>
        <v>0</v>
      </c>
      <c r="E69" s="969">
        <f t="shared" si="16"/>
        <v>0</v>
      </c>
      <c r="F69" s="969">
        <f t="shared" si="16"/>
        <v>0</v>
      </c>
      <c r="G69" s="969">
        <f t="shared" si="16"/>
        <v>0</v>
      </c>
      <c r="H69" s="969">
        <f t="shared" si="16"/>
        <v>0</v>
      </c>
    </row>
    <row r="71" spans="2:8">
      <c r="B71" s="972" t="s">
        <v>1733</v>
      </c>
    </row>
  </sheetData>
  <sheetProtection algorithmName="SHA-512" hashValue="hn238ak7IPu8Vs8tR78xbyEmmxO5NISJ/Sjiv8TVQS+/uhqq8stzYMUuGYKCsLQvgxcKzEojUsI1PVwuy4xxtQ==" saltValue="Y/9hdd5l8SRSUUh/HwwB3A==" spinCount="100000" sheet="1" formatColumns="0" formatRows="0"/>
  <mergeCells count="2">
    <mergeCell ref="B2:H2"/>
    <mergeCell ref="C5:G5"/>
  </mergeCells>
  <hyperlinks>
    <hyperlink ref="B1" location="Menu!D12" tooltip="Menu" display="&lt;&lt; Menu" xr:uid="{E84CB128-32E5-BB41-9251-79B74E098561}"/>
  </hyperlinks>
  <pageMargins left="0.7" right="0.7" top="0.75" bottom="0.75" header="0.3" footer="0.3"/>
  <pageSetup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2C474-0923-4B4A-85D2-FD1EBDF1612D}">
  <sheetPr codeName="Sheet16">
    <tabColor rgb="FF0563C1"/>
  </sheetPr>
  <dimension ref="B1:S57"/>
  <sheetViews>
    <sheetView zoomScale="80" zoomScaleNormal="80" zoomScaleSheetLayoutView="90" workbookViewId="0">
      <selection activeCell="M2" sqref="M2"/>
    </sheetView>
  </sheetViews>
  <sheetFormatPr defaultColWidth="8.5703125" defaultRowHeight="15" outlineLevelRow="1"/>
  <cols>
    <col min="1" max="1" width="2" style="689" customWidth="1"/>
    <col min="2" max="2" width="32.42578125" style="689" customWidth="1"/>
    <col min="3" max="3" width="41.85546875" style="689" customWidth="1"/>
    <col min="4" max="4" width="13.5703125" style="689" bestFit="1" customWidth="1"/>
    <col min="5" max="5" width="12.42578125" style="689" customWidth="1"/>
    <col min="6" max="6" width="13.42578125" style="689" customWidth="1"/>
    <col min="7" max="7" width="45.42578125" style="689" customWidth="1"/>
    <col min="8" max="16384" width="8.5703125" style="689"/>
  </cols>
  <sheetData>
    <row r="1" spans="2:19">
      <c r="B1" s="709" t="s">
        <v>1621</v>
      </c>
    </row>
    <row r="2" spans="2:19" ht="141" customHeight="1">
      <c r="B2" s="1021" t="s">
        <v>1775</v>
      </c>
      <c r="C2" s="1022"/>
      <c r="D2" s="1022"/>
      <c r="E2" s="1022"/>
      <c r="F2" s="1022"/>
      <c r="G2" s="1023"/>
      <c r="H2" s="710"/>
      <c r="I2" s="710"/>
    </row>
    <row r="3" spans="2:19">
      <c r="B3" s="1085" t="s">
        <v>1624</v>
      </c>
      <c r="C3" s="1085"/>
      <c r="D3" s="1085"/>
      <c r="E3" s="1085"/>
      <c r="F3" s="1085"/>
      <c r="G3" s="711"/>
      <c r="H3" s="710"/>
      <c r="I3" s="710"/>
    </row>
    <row r="4" spans="2:19" ht="15.75" thickBot="1">
      <c r="B4" s="711"/>
      <c r="C4" s="711"/>
      <c r="D4" s="711"/>
      <c r="E4" s="711"/>
      <c r="F4" s="711"/>
      <c r="G4" s="711"/>
      <c r="H4" s="710"/>
      <c r="I4" s="710"/>
    </row>
    <row r="5" spans="2:19" ht="15.75" thickBot="1">
      <c r="B5" s="712" t="e">
        <f>IF('Scope of implementation'!C8=1, "Currency = US Dollar", "Currency =" &amp; " " &amp;VLOOKUP('Scope of implementation'!C7,Table1[#All],3))</f>
        <v>#N/A</v>
      </c>
      <c r="C5" s="711"/>
      <c r="D5" s="711"/>
      <c r="E5" s="711"/>
      <c r="F5" s="711"/>
      <c r="G5" s="711"/>
      <c r="H5" s="710"/>
      <c r="I5" s="710"/>
    </row>
    <row r="6" spans="2:19">
      <c r="B6" s="711"/>
      <c r="C6" s="711"/>
      <c r="D6" s="711"/>
      <c r="E6" s="711"/>
      <c r="F6" s="711"/>
      <c r="G6" s="711"/>
      <c r="H6" s="710"/>
      <c r="I6" s="710"/>
    </row>
    <row r="7" spans="2:19" ht="30">
      <c r="B7" s="713" t="s">
        <v>1210</v>
      </c>
      <c r="C7" s="713" t="s">
        <v>51</v>
      </c>
      <c r="D7" s="714" t="s">
        <v>627</v>
      </c>
      <c r="E7" s="714" t="s">
        <v>628</v>
      </c>
      <c r="F7" s="714" t="s">
        <v>629</v>
      </c>
      <c r="G7" s="713" t="s">
        <v>62</v>
      </c>
    </row>
    <row r="8" spans="2:19">
      <c r="B8" s="715" t="s">
        <v>499</v>
      </c>
      <c r="C8" s="716"/>
      <c r="D8" s="716"/>
      <c r="E8" s="716"/>
      <c r="F8" s="716"/>
      <c r="G8" s="716"/>
    </row>
    <row r="9" spans="2:19" ht="210" hidden="1" outlineLevel="1">
      <c r="B9" s="689" t="s">
        <v>0</v>
      </c>
      <c r="C9" s="689" t="s">
        <v>1</v>
      </c>
      <c r="D9" s="717">
        <f>'LMIS TCO_TZ Reference'!I5</f>
        <v>153000</v>
      </c>
      <c r="E9" s="717">
        <f>'Cost summary'!H8</f>
        <v>0</v>
      </c>
      <c r="F9" s="718" t="str">
        <f>IF(E9&gt;0,E9/$E$12,"Not applicable")</f>
        <v>Not applicable</v>
      </c>
      <c r="G9" s="689" t="str">
        <f>IF('Development costs'!C7="No","You have indicated that the implementation does not require costing for project initation. Please review the Description to ensure no budget is required for this activity. Return to the Input tab if you would like to revise your selection.",IF(E9=0,"Cost should be between 20% and 40% of Development costs. Review cost entry and suggested source information from Input tab to ensure accurate input.",IF(F9&lt;20%,"Cost should be between 20% and 40% of Development costs. Review cost entry and suggested source information from Input tab to ensure accurate input.",IF(F9&gt;40%,"Cost should be between 20% and 40% of Development costs. Review cost entry and suggested source information from Input tab to ensure accurate input.",IF(F9&gt;=20%,"Valid input. Cost should be between 20% and 40% of Development costs.")))))</f>
        <v>Cost should be between 20% and 40% of Development costs. Review cost entry and suggested source information from Input tab to ensure accurate input.</v>
      </c>
    </row>
    <row r="10" spans="2:19" ht="105" hidden="1" outlineLevel="1">
      <c r="B10" s="689" t="s">
        <v>2</v>
      </c>
      <c r="C10" s="689" t="s">
        <v>58</v>
      </c>
      <c r="D10" s="717">
        <f>'LMIS TCO_TZ Reference'!I6</f>
        <v>16000</v>
      </c>
      <c r="E10" s="717">
        <f>'Cost summary'!H9</f>
        <v>0</v>
      </c>
      <c r="F10" s="718" t="str">
        <f>IF(E10&gt;0,E10/$E$12,"Not applicable")</f>
        <v>Not applicable</v>
      </c>
      <c r="G10" s="689" t="str">
        <f>IF('Development costs'!C7="No","You have indicated that the implementation does not require costing for project initation. Please review the Description to ensure no budget is required for this activity. Return to the Input tab if you would like to revise your selection.",IF(E10=0,"Cost should be between 2% and 10% of Development costs. Review cost entry and suggested source information from Input tab to ensure accurate input.",IF(F10&lt;2%,"Cost should be between 2% and 10% of Development costs. Review cost entry and suggested source information from Input tab to ensure accurate input.",IF(F10&gt;10%,"Cost should be between 2% and 10% of Development costs. Review cost entry and suggested source information from Input tab to ensure accurate input.",IF(F10&gt;=2%,"Valid input. Cost should be between 2% and 10% of Development costs.")))))</f>
        <v>Cost should be between 2% and 10% of Development costs. Review cost entry and suggested source information from Input tab to ensure accurate input.</v>
      </c>
    </row>
    <row r="11" spans="2:19" ht="180" hidden="1" outlineLevel="1">
      <c r="B11" s="719" t="s">
        <v>3</v>
      </c>
      <c r="C11" s="719" t="s">
        <v>4</v>
      </c>
      <c r="D11" s="720">
        <f>'LMIS TCO_TZ Reference'!I7</f>
        <v>582000</v>
      </c>
      <c r="E11" s="720">
        <f>'Cost summary'!H10</f>
        <v>0</v>
      </c>
      <c r="F11" s="721" t="str">
        <f>IF(E11&gt;0,E11/$E$12,"Not applicable")</f>
        <v>Not applicable</v>
      </c>
      <c r="G11" s="719" t="str">
        <f>IF('Notes - Development Costs'!B8="No","You have indicated that the implementation does not require costing for project initation. Please review the Description to ensure no budget is required for this activity. Return to the Input tab if you would like to revise your selection.",IF(E11=0,"Cost should be greater than 60% of Development costs. Review cost entry and suggested source information from Input tab to ensure accurate input.",IF(F11&lt;60%,"Cost should be greater than 60% of Development costs. Review cost entry and suggested source information from Input tab to ensure accurate input.",IF(F11&gt;=60%,"Valid input. Cost should be greater than 60% of Development costs."))))</f>
        <v>Cost should be greater than 60% of Development costs. Review cost entry and suggested source information from Input tab to ensure accurate input.</v>
      </c>
    </row>
    <row r="12" spans="2:19" ht="60" collapsed="1">
      <c r="B12" s="722" t="s">
        <v>332</v>
      </c>
      <c r="D12" s="723">
        <f>SUM(D9:D11)</f>
        <v>751000</v>
      </c>
      <c r="E12" s="723">
        <f>SUM(E9:E11)</f>
        <v>0</v>
      </c>
      <c r="F12" s="718" t="str">
        <f>IF('Development costs'!C7="no","Not applicable.",IFERROR(E12/E38,""))</f>
        <v/>
      </c>
      <c r="G12" s="689" t="str">
        <f>IF(F12="Not applicable.","",IF(F12=0,"Development costs should be less than 20% of TCO. Review cost entry and suggested source information from Input tab to ensure accurate input.",IF(F12&lt;=0.2,"Valid input. Development costs should be less than 20% of TCO.",IF(F12&gt;0.2,"Development costs should be less than 20% of TCO. Review cost entry and suggested source information from Input tab to ensure accurate input."))))</f>
        <v>Development costs should be less than 20% of TCO. Review cost entry and suggested source information from Input tab to ensure accurate input.</v>
      </c>
    </row>
    <row r="13" spans="2:19">
      <c r="B13" s="715" t="s">
        <v>500</v>
      </c>
      <c r="C13" s="716"/>
      <c r="D13" s="724"/>
      <c r="E13" s="724"/>
      <c r="F13" s="716"/>
      <c r="G13" s="716"/>
      <c r="J13" s="725"/>
      <c r="K13" s="725"/>
      <c r="L13" s="725"/>
      <c r="M13" s="725"/>
      <c r="N13" s="725"/>
      <c r="O13" s="725"/>
      <c r="P13" s="725"/>
      <c r="Q13" s="725"/>
      <c r="R13" s="725"/>
      <c r="S13" s="725"/>
    </row>
    <row r="14" spans="2:19" ht="60" hidden="1" outlineLevel="1">
      <c r="B14" s="689" t="s">
        <v>5</v>
      </c>
      <c r="C14" s="689" t="s">
        <v>6</v>
      </c>
      <c r="D14" s="723">
        <f>'LMIS TCO_TZ Reference'!I10</f>
        <v>42590</v>
      </c>
      <c r="E14" s="723">
        <f>'Cost summary'!H13</f>
        <v>0</v>
      </c>
      <c r="F14" s="726" t="str">
        <f>IF(AND('Deployment costs'!C8="Yes",E14=0),"Not applicable",IF(E14&gt;0,E14/$E$21,"0%"))</f>
        <v>0%</v>
      </c>
      <c r="G14" s="689" t="str">
        <f>IF(F14="Not applicable","You have indicated that the implementation will utilize existing Equipment. Please review the Description to ensure no budget is required for this activity. Return to the Input tab if you would like to revise your selection.", IF(AND(F14&lt;0.01%, 'Deployment costs'!C8="Yes"),"Cost should be between 1% and 10% of Deployment costs. Review cost entry and suggested source information from Input tab to ensure accurate input.", IF(AND(F14&lt;0.01,'Deployment costs'!C8="No"),"Cost should be between 1% and 15% of Deployment costs. Review cost entry and suggested source information from Input tab to ensure accurate input.",IF(F14&gt;0.15, "Cost should be between 1% and 15% of Deployment costs. Review cost entry and suggested source information from Input tab to ensure accurate input.","Valid input. Cost should be between 1% and 15% of Deployment costs."))))</f>
        <v>Cost should be between 1% and 15% of Deployment costs. Review cost entry and suggested source information from Input tab to ensure accurate input.</v>
      </c>
      <c r="J14" s="725"/>
      <c r="K14" s="725"/>
      <c r="L14" s="725"/>
      <c r="M14" s="725"/>
      <c r="N14" s="725"/>
      <c r="O14" s="725"/>
      <c r="P14" s="725"/>
      <c r="Q14" s="725"/>
      <c r="R14" s="725"/>
      <c r="S14" s="725"/>
    </row>
    <row r="15" spans="2:19" ht="60" hidden="1" outlineLevel="1" collapsed="1">
      <c r="B15" s="689" t="s">
        <v>7</v>
      </c>
      <c r="C15" s="689" t="s">
        <v>8</v>
      </c>
      <c r="D15" s="723">
        <f>'LMIS TCO_TZ Reference'!I11</f>
        <v>143000</v>
      </c>
      <c r="E15" s="723">
        <f>'Cost summary'!H14</f>
        <v>0</v>
      </c>
      <c r="F15" s="726" t="str">
        <f>IF(AND('Deployment costs'!C50="Yes",E15=0),"Not applicable",IF(E15&gt;0,E15/$E$21,"0%"))</f>
        <v>0%</v>
      </c>
      <c r="G15" s="689" t="str">
        <f>IF(F15="Not applicable","You have indicated that the implementation will utilize existing Equipment. Please review the Description to ensure no budget is required for this activity. Return to the Input tab if you would like to revise your selection.", IF(AND(F15&lt;0.01%,'Deployment costs'!C50="Yes"),"Cost should be between 1% and 3% of Deployment costs. Review cost entry and suggested source information from Input tab to ensure accurate input.", IF(AND(F14&lt;0.01, 'Deployment costs'!C50="No"),"Cost should be between 1% and 5% of Deployment costs. Review cost entry and suggested source information from Input tab to ensure accurate input.",IF(F15&gt;0.5, "Cost should be between 1% and 5% of Deployment costs. Review cost entry and suggested source information from Input tab to ensure accurate input.","Valid input. Cost should be between 1% and 5% of Deployment costs."))))</f>
        <v>Cost should be between 1% and 5% of Deployment costs. Review cost entry and suggested source information from Input tab to ensure accurate input.</v>
      </c>
      <c r="J15" s="725"/>
      <c r="K15" s="725"/>
      <c r="L15" s="725"/>
      <c r="M15" s="725"/>
      <c r="N15" s="725"/>
      <c r="O15" s="725"/>
      <c r="P15" s="725"/>
      <c r="Q15" s="725"/>
      <c r="R15" s="725"/>
      <c r="S15" s="725"/>
    </row>
    <row r="16" spans="2:19" ht="60" hidden="1" outlineLevel="1" collapsed="1">
      <c r="B16" s="689" t="s">
        <v>9</v>
      </c>
      <c r="C16" s="689" t="s">
        <v>10</v>
      </c>
      <c r="D16" s="723">
        <f>'LMIS TCO_TZ Reference'!I12</f>
        <v>0</v>
      </c>
      <c r="E16" s="723">
        <f>'Cost summary'!H15</f>
        <v>0</v>
      </c>
      <c r="F16" s="718" t="str">
        <f>IF(E16&gt;0,E16/$E$21,"Not applicable")</f>
        <v>Not applicable</v>
      </c>
      <c r="G16" s="689" t="str">
        <f>IF(F16="Not applicable","You have indicated that the implementation does not require costing for Implementation Service During Deployment.",IF(F16&gt;0.15,"Cost should be &lt;15% of Deployment costs. Review cost entry and suggested source information from Input tab to ensure accurate input.",IF(F16&lt;0.15,"Valid input. Cost should be &lt;15% of Deployment costs.")))</f>
        <v>You have indicated that the implementation does not require costing for Implementation Service During Deployment.</v>
      </c>
      <c r="J16" s="725"/>
      <c r="K16" s="725"/>
      <c r="L16" s="725"/>
      <c r="M16" s="725"/>
      <c r="N16" s="725"/>
      <c r="O16" s="725"/>
      <c r="P16" s="725"/>
      <c r="Q16" s="725"/>
      <c r="R16" s="725"/>
      <c r="S16" s="725"/>
    </row>
    <row r="17" spans="2:19" ht="120" hidden="1" outlineLevel="1" collapsed="1">
      <c r="B17" s="689" t="s">
        <v>11</v>
      </c>
      <c r="C17" s="689" t="s">
        <v>12</v>
      </c>
      <c r="D17" s="723">
        <f>'LMIS TCO_TZ Reference'!I13</f>
        <v>56850</v>
      </c>
      <c r="E17" s="723">
        <f>'Cost summary'!H16</f>
        <v>0</v>
      </c>
      <c r="F17" s="718" t="str">
        <f>IF(E17&gt;0,E17/$E$21,"Not applicable")</f>
        <v>Not applicable</v>
      </c>
      <c r="G17" s="689" t="str">
        <f>IF(F17="Not applicable","You have indicated that the implementation does not require costing for Integration and Interoperability during Deployment.",IF(F17&gt;0.05,"Cost should be &lt;5% of Deployment costs. Review cost entry and suggested source information from Input tab to ensure accurate input.",IF(F17&lt;0.05,"Valid input. Cost should be &lt;5% of Deployment costs.")))</f>
        <v>You have indicated that the implementation does not require costing for Integration and Interoperability during Deployment.</v>
      </c>
      <c r="J17" s="725"/>
      <c r="K17" s="725"/>
      <c r="L17" s="725"/>
      <c r="M17" s="725"/>
      <c r="N17" s="725"/>
      <c r="O17" s="725"/>
      <c r="P17" s="725"/>
      <c r="Q17" s="725"/>
      <c r="R17" s="725"/>
      <c r="S17" s="725"/>
    </row>
    <row r="18" spans="2:19" ht="60" hidden="1" outlineLevel="1" collapsed="1">
      <c r="B18" s="689" t="s">
        <v>15</v>
      </c>
      <c r="C18" s="689" t="s">
        <v>16</v>
      </c>
      <c r="D18" s="723">
        <f>'LMIS TCO_TZ Reference'!I14</f>
        <v>981200</v>
      </c>
      <c r="E18" s="723">
        <f>'Cost summary'!H17</f>
        <v>0</v>
      </c>
      <c r="F18" s="718" t="str">
        <f>IF(E18&gt;0,E18/$E$21,"Not applicable")</f>
        <v>Not applicable</v>
      </c>
      <c r="G18" s="689" t="str">
        <f>IF(F18="Not applicable","You have indicated that the implementation does not require costing for Software Development during Deployment.",IF(F18&gt;0.05,"Cost should be &lt;5% of Deployment costs. Review cost entry and suggested source information from Input tab to ensure accurate input.",IF(F18&lt;0.05,"Valid input. Cost should be &lt;5% of Deployment costs.")))</f>
        <v>You have indicated that the implementation does not require costing for Software Development during Deployment.</v>
      </c>
      <c r="J18" s="725"/>
      <c r="K18" s="725"/>
      <c r="L18" s="725"/>
      <c r="M18" s="725"/>
      <c r="N18" s="725"/>
      <c r="O18" s="725"/>
      <c r="P18" s="725"/>
      <c r="Q18" s="725"/>
      <c r="R18" s="725"/>
      <c r="S18" s="725"/>
    </row>
    <row r="19" spans="2:19" ht="135" hidden="1" outlineLevel="1" collapsed="1">
      <c r="B19" s="698" t="s">
        <v>33</v>
      </c>
      <c r="C19" s="689" t="s">
        <v>944</v>
      </c>
      <c r="D19" s="723"/>
      <c r="E19" s="723">
        <f>'Cost summary'!H18</f>
        <v>0</v>
      </c>
      <c r="F19" s="727" t="str">
        <f>IF(E19&gt;0,E19/$E$21,"Not applicable")</f>
        <v>Not applicable</v>
      </c>
      <c r="G19" s="689" t="str">
        <f>IF(F19="Not applicable","You have indicated that the implementation does not require costing for Software Development during Deployment.",IF(F19&gt;0.05,"Cost should be &lt;5% of Deployment costs. Review cost entry and suggested source information from Input tab to ensure accurate input.",IF(F19&lt;0.05,"Valid input. Cost should be &lt;5% of Deployment costs.")))</f>
        <v>You have indicated that the implementation does not require costing for Software Development during Deployment.</v>
      </c>
      <c r="J19" s="725"/>
      <c r="K19" s="725"/>
      <c r="L19" s="725"/>
      <c r="M19" s="725"/>
      <c r="N19" s="725"/>
      <c r="O19" s="725"/>
      <c r="P19" s="725"/>
      <c r="Q19" s="725"/>
      <c r="R19" s="725"/>
      <c r="S19" s="725"/>
    </row>
    <row r="20" spans="2:19" ht="90" hidden="1" outlineLevel="1" collapsed="1">
      <c r="B20" s="689" t="s">
        <v>13</v>
      </c>
      <c r="C20" s="689" t="s">
        <v>14</v>
      </c>
      <c r="D20" s="723">
        <f>'LMIS TCO_TZ Reference'!I15</f>
        <v>70638</v>
      </c>
      <c r="E20" s="723">
        <f>'Cost summary'!H19</f>
        <v>0</v>
      </c>
      <c r="F20" s="727" t="str">
        <f>IF(E20&gt;0,E20/$E$21,"")</f>
        <v/>
      </c>
      <c r="G20" s="689" t="str">
        <f>IF(F20="","You have indicated that the implementation does not include New Deployment Training costs. Please review the Description to ensure no budget is required for this activity. Return to the Input tab if you would like to revise your selection.", IF(OR(F20&lt;0.2, F20&gt;0.75),"Cost should be between 20% and 75% of Deployment costs. Review cost entry and suggested source information from Input tab to ensure accurate input.","Valid input. Cost should be between 20% and 75% of Deployment costs."))</f>
        <v>You have indicated that the implementation does not include New Deployment Training costs. Please review the Description to ensure no budget is required for this activity. Return to the Input tab if you would like to revise your selection.</v>
      </c>
      <c r="J20" s="725"/>
      <c r="K20" s="725"/>
      <c r="L20" s="725"/>
      <c r="M20" s="725"/>
      <c r="N20" s="725"/>
      <c r="O20" s="725"/>
      <c r="P20" s="725"/>
      <c r="Q20" s="725"/>
      <c r="R20" s="725"/>
      <c r="S20" s="725"/>
    </row>
    <row r="21" spans="2:19" collapsed="1">
      <c r="B21" s="722" t="s">
        <v>296</v>
      </c>
      <c r="D21" s="723">
        <f>SUM(D14:D20)</f>
        <v>1294278</v>
      </c>
      <c r="E21" s="723">
        <f>SUM(E14:E20)</f>
        <v>0</v>
      </c>
      <c r="F21" s="728" t="str">
        <f>IF(E21=0,"",E21/E38)</f>
        <v/>
      </c>
      <c r="G21" s="689" t="str">
        <f>IF(F21="","Return to Input tab to enter Deployment costs.",IF(AND('Development costs'!C7="no",F21&lt;=0.4),"Valid input. Deployment costs should be less than 40% of TCO.",IF(AND('Development costs'!C7="no",F21&gt;0.4),"Deployment costs should be less than 40% of TCO. Review cost entry and suggested source information from Input tab to ensure accurate input.",IF(AND('Development costs'!C7="yes",F21&lt;=0.4),"Valid input. Deployment costs should be less than 40% of TCO.",IF(AND('Development costs'!C7="yes",F21&gt;0.4),"Deployment costs should be less than 40% of TCO. Review cost entry and suggested source information from Input tab to ensure accurate input.","User input in Development Costs not selected. Return to input tab to enter Development Costs")))))</f>
        <v>Return to Input tab to enter Deployment costs.</v>
      </c>
      <c r="J21" s="725"/>
      <c r="K21" s="725"/>
      <c r="L21" s="725"/>
      <c r="M21" s="725"/>
      <c r="N21" s="725"/>
      <c r="O21" s="725"/>
      <c r="P21" s="725"/>
      <c r="Q21" s="725"/>
      <c r="R21" s="725"/>
      <c r="S21" s="725"/>
    </row>
    <row r="22" spans="2:19">
      <c r="B22" s="715" t="s">
        <v>501</v>
      </c>
      <c r="C22" s="716"/>
      <c r="D22" s="724"/>
      <c r="E22" s="724"/>
      <c r="F22" s="716"/>
      <c r="G22" s="716"/>
      <c r="J22" s="725"/>
      <c r="K22" s="725"/>
      <c r="L22" s="725"/>
      <c r="M22" s="725"/>
      <c r="N22" s="725"/>
      <c r="O22" s="725"/>
      <c r="P22" s="725"/>
      <c r="Q22" s="725"/>
      <c r="R22" s="725"/>
      <c r="S22" s="725"/>
    </row>
    <row r="23" spans="2:19" ht="90" hidden="1" outlineLevel="1">
      <c r="B23" s="689" t="s">
        <v>19</v>
      </c>
      <c r="C23" s="689" t="s">
        <v>20</v>
      </c>
      <c r="D23" s="723">
        <f>'LMIS TCO_TZ Reference'!I22</f>
        <v>34072</v>
      </c>
      <c r="E23" s="723">
        <f>'Cost summary'!H22</f>
        <v>0</v>
      </c>
      <c r="F23" s="718" t="str">
        <f t="shared" ref="F23:F36" si="0">IF(E23&gt;0,E23/$E$37,"")</f>
        <v/>
      </c>
      <c r="G23" s="689" t="str">
        <f>IF(F23="","You have indicated that the implementation does not include Equipment Replacement costs. Please review the Description to ensure no budget is required for this activity. Return to the Input tab if you would like to revise your selection.", IF(AND(E23/4&lt;=(E14*0.1),E23/4&gt;=(E14*0.25)),"Equipment replacement rate should be between 10 - 25% or replacement every 4 - 10 years. Review cost entry and suggested source information from Input tab to ensure accurate input.","Valid input. Cost should be between 20% and 75% of Deployment costs."))</f>
        <v>You have indicated that the implementation does not include Equipment Replacement costs. Please review the Description to ensure no budget is required for this activity. Return to the Input tab if you would like to revise your selection.</v>
      </c>
      <c r="J23" s="725"/>
      <c r="K23" s="725"/>
      <c r="L23" s="725"/>
      <c r="M23" s="725"/>
      <c r="N23" s="725"/>
      <c r="O23" s="725"/>
      <c r="P23" s="725"/>
      <c r="Q23" s="725"/>
      <c r="R23" s="725"/>
      <c r="S23" s="725"/>
    </row>
    <row r="24" spans="2:19" ht="90" hidden="1" outlineLevel="1" collapsed="1">
      <c r="B24" s="689" t="s">
        <v>680</v>
      </c>
      <c r="C24" s="689" t="s">
        <v>22</v>
      </c>
      <c r="D24" s="723">
        <f>'LMIS TCO_TZ Reference'!I23</f>
        <v>114400</v>
      </c>
      <c r="E24" s="723">
        <f>'Cost summary'!H23</f>
        <v>0</v>
      </c>
      <c r="F24" s="718" t="str">
        <f t="shared" si="0"/>
        <v/>
      </c>
      <c r="G24" s="689" t="str">
        <f>IF(F24="","You have indicated that the implementation does not include Infrastructure Replacement costs. Please review the Description to ensure no budget is required for this activity. Return to the Input tab if you would like to revise your selection.", IF(AND(E24/4&lt;=(E15*0.1),E24/4&gt;=(E15*0.25)),"Infrastructure replacement rate should be between 10 - 25% or replacement every 4 - 10 years. Review cost entry and suggested source information from Input tab to ensure accurate input.","Valid input. Cost should be between 20% and 75% of Deployment costs."))</f>
        <v>You have indicated that the implementation does not include Infrastructure Replacement costs. Please review the Description to ensure no budget is required for this activity. Return to the Input tab if you would like to revise your selection.</v>
      </c>
      <c r="J24" s="725"/>
      <c r="K24" s="725"/>
      <c r="L24" s="725"/>
      <c r="M24" s="725"/>
      <c r="N24" s="725"/>
      <c r="O24" s="725"/>
      <c r="P24" s="725"/>
      <c r="Q24" s="725"/>
      <c r="R24" s="725"/>
      <c r="S24" s="725"/>
    </row>
    <row r="25" spans="2:19" ht="90" hidden="1" outlineLevel="1" collapsed="1">
      <c r="B25" s="689" t="s">
        <v>23</v>
      </c>
      <c r="C25" s="689" t="s">
        <v>24</v>
      </c>
      <c r="D25" s="723">
        <f>'LMIS TCO_TZ Reference'!I24</f>
        <v>0</v>
      </c>
      <c r="E25" s="723">
        <f>'Cost summary'!H24</f>
        <v>0</v>
      </c>
      <c r="F25" s="718" t="str">
        <f t="shared" si="0"/>
        <v/>
      </c>
      <c r="G25" s="689" t="str">
        <f>IF(F25="","You have indicated that the implementation does not include Licensing and Subscriptions costs. Please review the Description to ensure no budget is required for this activity. Return to the Input tab if you would like to revise your selection.","Software Licensing and Subscriptions costs may vary depending on the type of software model.")</f>
        <v>You have indicated that the implementation does not include Licensing and Subscriptions costs. Please review the Description to ensure no budget is required for this activity. Return to the Input tab if you would like to revise your selection.</v>
      </c>
      <c r="J25" s="725"/>
      <c r="K25" s="725"/>
      <c r="L25" s="725"/>
      <c r="M25" s="725"/>
      <c r="N25" s="725"/>
      <c r="O25" s="725"/>
      <c r="P25" s="725"/>
      <c r="Q25" s="725"/>
      <c r="R25" s="725"/>
      <c r="S25" s="725"/>
    </row>
    <row r="26" spans="2:19" ht="75" hidden="1" outlineLevel="1" collapsed="1">
      <c r="B26" s="689" t="s">
        <v>25</v>
      </c>
      <c r="C26" s="689" t="s">
        <v>26</v>
      </c>
      <c r="D26" s="723">
        <f>'LMIS TCO_TZ Reference'!I25</f>
        <v>0</v>
      </c>
      <c r="E26" s="723">
        <f>'Cost summary'!H25</f>
        <v>0</v>
      </c>
      <c r="F26" s="718" t="str">
        <f t="shared" si="0"/>
        <v/>
      </c>
      <c r="G26" s="689" t="str">
        <f>IF(F26="","You have indicated that the implementation does not include Data and Voice costs. Please review the Description to ensure no budget is required for this activity. Return to the Input tab if you would like to revise your selection.",IF(F26&gt;0.1,"Cost should be &lt;10% of Operations costs. Review cost entry and suggested source information from Input tab to ensure accurate input.",IF(F26&lt;0.1,"Valid input. Cost should be &lt;10% of Operations costs.")))</f>
        <v>You have indicated that the implementation does not include Data and Voice costs. Please review the Description to ensure no budget is required for this activity. Return to the Input tab if you would like to revise your selection.</v>
      </c>
      <c r="J26" s="725"/>
      <c r="K26" s="725"/>
      <c r="L26" s="725"/>
      <c r="M26" s="725"/>
      <c r="N26" s="725"/>
      <c r="O26" s="725"/>
      <c r="P26" s="725"/>
      <c r="Q26" s="725"/>
      <c r="R26" s="725"/>
      <c r="S26" s="725"/>
    </row>
    <row r="27" spans="2:19" ht="75" hidden="1" outlineLevel="1" collapsed="1">
      <c r="B27" s="689" t="s">
        <v>27</v>
      </c>
      <c r="C27" s="689" t="s">
        <v>28</v>
      </c>
      <c r="D27" s="723">
        <f>'LMIS TCO_TZ Reference'!I26</f>
        <v>403308</v>
      </c>
      <c r="E27" s="723">
        <f>'Cost summary'!H26</f>
        <v>0</v>
      </c>
      <c r="F27" s="718" t="str">
        <f t="shared" si="0"/>
        <v/>
      </c>
      <c r="G27" s="689" t="str">
        <f>IF(F27="","You have indicated that the implementation does not include Recurrent Training costs. Please review the Description to ensure no budget is required for this activity. Return to the Input tab if you would like to revise your selection.", IF(F27&gt;0.3, "Cost should be between 15% and 30% of Operations costs. Review cost entry and suggested source information from Input tab to ensure accurate input.", IF(F27&lt;0.15, "Cost should be between 15% and 30% of Operations costs. Review cost entry and suggested source information from Input tab to ensure accurate input.", "Valid input. Cost should be between 15% and 30% of Operations costs.")))</f>
        <v>You have indicated that the implementation does not include Recurrent Training costs. Please review the Description to ensure no budget is required for this activity. Return to the Input tab if you would like to revise your selection.</v>
      </c>
      <c r="J27" s="725"/>
      <c r="K27" s="725"/>
      <c r="L27" s="725"/>
      <c r="M27" s="725"/>
      <c r="N27" s="725"/>
      <c r="O27" s="725"/>
      <c r="P27" s="725"/>
      <c r="Q27" s="725"/>
      <c r="R27" s="725"/>
      <c r="S27" s="725"/>
    </row>
    <row r="28" spans="2:19" ht="75" hidden="1" outlineLevel="1" collapsed="1">
      <c r="B28" s="689" t="s">
        <v>29</v>
      </c>
      <c r="C28" s="689" t="s">
        <v>30</v>
      </c>
      <c r="D28" s="723">
        <f>'LMIS TCO_TZ Reference'!I27</f>
        <v>364170</v>
      </c>
      <c r="E28" s="723">
        <f>'Cost summary'!H27</f>
        <v>0</v>
      </c>
      <c r="F28" s="718" t="str">
        <f t="shared" si="0"/>
        <v/>
      </c>
      <c r="G28" s="689" t="str">
        <f>IF(F28="","You have indicated that the implementation does not include Heldesk Support costs. Please review the Description to ensure no budget is required for this activity. Return to the Input tab if you would like to revise your selection.", IF(F28&gt;0.3, "Cost should be between 5% and 30% of Operations costs. Review cost entry and suggested source information from Input tab to ensure accurate input.", IF(F28&lt;0.05, "Cost should be between 5% and 30% of Operations costs. Review cost entry and suggested source information from Input tab to ensure accurate input.", "Valid input. Cost should be between 5% and 30% of Operations costs.")))</f>
        <v>You have indicated that the implementation does not include Heldesk Support costs. Please review the Description to ensure no budget is required for this activity. Return to the Input tab if you would like to revise your selection.</v>
      </c>
      <c r="J28" s="725"/>
      <c r="K28" s="725"/>
      <c r="L28" s="725"/>
      <c r="M28" s="725"/>
      <c r="N28" s="725"/>
      <c r="O28" s="725"/>
      <c r="P28" s="725"/>
      <c r="Q28" s="725"/>
      <c r="R28" s="725"/>
      <c r="S28" s="725"/>
    </row>
    <row r="29" spans="2:19" ht="75" hidden="1" outlineLevel="1" collapsed="1">
      <c r="B29" s="689" t="s">
        <v>31</v>
      </c>
      <c r="C29" s="689" t="s">
        <v>32</v>
      </c>
      <c r="D29" s="723">
        <f>'LMIS TCO_TZ Reference'!I28</f>
        <v>137225</v>
      </c>
      <c r="E29" s="723">
        <f>'Cost summary'!H28</f>
        <v>0</v>
      </c>
      <c r="F29" s="718" t="str">
        <f t="shared" si="0"/>
        <v/>
      </c>
      <c r="G29" s="689" t="str">
        <f>IF(F29="","You have indicated that the implementation does not include Maintenance costs. Please review the Description to ensure no budget is required for this activity. Return to the Input tab if you would like to revise your selection.", IF(F29&gt;0.25, "Cost should be between 5% and 25% of Operations costs. Review cost entry and suggested source information from Input tab to ensure accurate input.", IF(F29&lt;0.05, "Cost should be between 5% and 25% of Operations costs. Review cost entry and suggested source information from Input tab to ensure accurate input.", "Valid input. Cost should be between 5% and 25% of Operations costs.")))</f>
        <v>You have indicated that the implementation does not include Maintenance costs. Please review the Description to ensure no budget is required for this activity. Return to the Input tab if you would like to revise your selection.</v>
      </c>
      <c r="J29" s="725"/>
      <c r="K29" s="725"/>
      <c r="L29" s="725"/>
      <c r="M29" s="725"/>
      <c r="N29" s="725"/>
      <c r="O29" s="725"/>
      <c r="P29" s="725"/>
      <c r="Q29" s="725"/>
      <c r="R29" s="725"/>
      <c r="S29" s="725"/>
    </row>
    <row r="30" spans="2:19" ht="150" hidden="1" outlineLevel="1" collapsed="1">
      <c r="B30" s="689" t="s">
        <v>33</v>
      </c>
      <c r="C30" s="689" t="s">
        <v>34</v>
      </c>
      <c r="D30" s="723">
        <f>'LMIS TCO_TZ Reference'!I29</f>
        <v>0</v>
      </c>
      <c r="E30" s="723">
        <f>'Cost summary'!H29</f>
        <v>0</v>
      </c>
      <c r="F30" s="718" t="str">
        <f t="shared" si="0"/>
        <v/>
      </c>
      <c r="G30" s="689" t="str">
        <f>IF(F30="","You have indicated that the implementation does not include Testing costs. Please review the Description to ensure no budget is required for this activity. Return to the Input tab if you would like to revise your selection.","")</f>
        <v>You have indicated that the implementation does not include Testing costs. Please review the Description to ensure no budget is required for this activity. Return to the Input tab if you would like to revise your selection.</v>
      </c>
      <c r="J30" s="725"/>
      <c r="K30" s="725"/>
      <c r="L30" s="725"/>
      <c r="M30" s="725"/>
      <c r="N30" s="725"/>
      <c r="O30" s="725"/>
      <c r="P30" s="725"/>
      <c r="Q30" s="725"/>
      <c r="R30" s="725"/>
      <c r="S30" s="725"/>
    </row>
    <row r="31" spans="2:19" ht="90" hidden="1" outlineLevel="1" collapsed="1">
      <c r="B31" s="689" t="s">
        <v>35</v>
      </c>
      <c r="C31" s="689" t="s">
        <v>36</v>
      </c>
      <c r="D31" s="723">
        <f>'LMIS TCO_TZ Reference'!I30</f>
        <v>0</v>
      </c>
      <c r="E31" s="723">
        <f>'Cost summary'!H30</f>
        <v>0</v>
      </c>
      <c r="F31" s="718" t="str">
        <f t="shared" si="0"/>
        <v/>
      </c>
      <c r="G31" s="689" t="str">
        <f>IF(F31="","You have indicated that the implementation does not include Transfer of Ownership costs. Please review the Description to ensure no budget is required for this activity. Return to the Input tab if you would like to revise your selection.","")</f>
        <v>You have indicated that the implementation does not include Transfer of Ownership costs. Please review the Description to ensure no budget is required for this activity. Return to the Input tab if you would like to revise your selection.</v>
      </c>
      <c r="J31" s="725"/>
      <c r="K31" s="725"/>
      <c r="L31" s="725"/>
      <c r="M31" s="725"/>
      <c r="N31" s="725"/>
      <c r="O31" s="725"/>
      <c r="P31" s="725"/>
      <c r="Q31" s="725"/>
      <c r="R31" s="725"/>
      <c r="S31" s="725"/>
    </row>
    <row r="32" spans="2:19" ht="90" hidden="1" outlineLevel="1" collapsed="1">
      <c r="B32" s="689" t="s">
        <v>0</v>
      </c>
      <c r="C32" s="689" t="s">
        <v>37</v>
      </c>
      <c r="D32" s="723">
        <f>'LMIS TCO_TZ Reference'!I31</f>
        <v>385595</v>
      </c>
      <c r="E32" s="723">
        <f>'Cost summary'!H31</f>
        <v>0</v>
      </c>
      <c r="F32" s="718" t="str">
        <f t="shared" si="0"/>
        <v/>
      </c>
      <c r="G32" s="689" t="str">
        <f>IF(F32="","You have indicated that the implementation does not include ongoing Project Management costs. Please review the Description to ensure no budget is required for this activity. Return to the Input tab if you would like to revise your selection.", IF(F32&gt;0.35, "Cost should be between 15% and 35% of Operations costs. Review cost entry and suggested source information from Input tab to ensure accurate input.", IF(F32&lt;0.15, "Cost should be between 15% and 35% of Operations costs. Review cost entry and suggested source information from Input tab to ensure accurate input.", "Valid input. Cost should be between 15% and 35% of Operations costs.")))</f>
        <v>You have indicated that the implementation does not include ongoing Project Management costs. Please review the Description to ensure no budget is required for this activity. Return to the Input tab if you would like to revise your selection.</v>
      </c>
      <c r="J32" s="725"/>
      <c r="K32" s="725"/>
      <c r="L32" s="725"/>
      <c r="M32" s="725"/>
      <c r="N32" s="725"/>
      <c r="O32" s="725"/>
      <c r="P32" s="725"/>
      <c r="Q32" s="725"/>
      <c r="R32" s="725"/>
      <c r="S32" s="725"/>
    </row>
    <row r="33" spans="2:19" ht="90" hidden="1" outlineLevel="1" collapsed="1">
      <c r="B33" s="689" t="s">
        <v>38</v>
      </c>
      <c r="C33" s="689" t="s">
        <v>39</v>
      </c>
      <c r="D33" s="723">
        <f>'LMIS TCO_TZ Reference'!I32</f>
        <v>0</v>
      </c>
      <c r="E33" s="723">
        <f>'Cost summary'!H32</f>
        <v>0</v>
      </c>
      <c r="F33" s="718" t="str">
        <f t="shared" si="0"/>
        <v/>
      </c>
      <c r="G33" s="689" t="str">
        <f>IF(F33="","You have indicated that the implementation does not include Transportation and Communication costs. Please review the Description to ensure no budget is required for this activity. Return to the Input tab if you would like to revise your selection.","")</f>
        <v>You have indicated that the implementation does not include Transportation and Communication costs. Please review the Description to ensure no budget is required for this activity. Return to the Input tab if you would like to revise your selection.</v>
      </c>
      <c r="J33" s="725"/>
      <c r="K33" s="725"/>
      <c r="L33" s="725"/>
      <c r="M33" s="725"/>
      <c r="N33" s="725"/>
      <c r="O33" s="725"/>
      <c r="P33" s="725"/>
      <c r="Q33" s="725"/>
      <c r="R33" s="725"/>
      <c r="S33" s="725"/>
    </row>
    <row r="34" spans="2:19" ht="75" hidden="1" outlineLevel="1" collapsed="1">
      <c r="B34" s="689" t="s">
        <v>40</v>
      </c>
      <c r="C34" s="689" t="s">
        <v>41</v>
      </c>
      <c r="D34" s="723">
        <f>'LMIS TCO_TZ Reference'!I33</f>
        <v>395300</v>
      </c>
      <c r="E34" s="723">
        <f>'Cost summary'!H33</f>
        <v>0</v>
      </c>
      <c r="F34" s="718" t="str">
        <f t="shared" si="0"/>
        <v/>
      </c>
      <c r="G34" s="689" t="str">
        <f>IF(F34="","You have indicated that the implementation does not include Governance costs. Please review the Description to ensure no budget is required for this activity. Return to the Input tab if you would like to revise your selection.","")</f>
        <v>You have indicated that the implementation does not include Governance costs. Please review the Description to ensure no budget is required for this activity. Return to the Input tab if you would like to revise your selection.</v>
      </c>
      <c r="J34" s="725"/>
      <c r="K34" s="725"/>
      <c r="L34" s="725"/>
      <c r="M34" s="725"/>
      <c r="N34" s="725"/>
      <c r="O34" s="725"/>
      <c r="P34" s="725"/>
      <c r="Q34" s="725"/>
      <c r="R34" s="725"/>
      <c r="S34" s="725"/>
    </row>
    <row r="35" spans="2:19" ht="90" hidden="1" outlineLevel="1" collapsed="1">
      <c r="B35" s="689" t="s">
        <v>42</v>
      </c>
      <c r="C35" s="689" t="s">
        <v>43</v>
      </c>
      <c r="D35" s="723">
        <f>'LMIS TCO_TZ Reference'!I34</f>
        <v>398945</v>
      </c>
      <c r="E35" s="723">
        <f>'Cost summary'!H34</f>
        <v>0</v>
      </c>
      <c r="F35" s="718" t="str">
        <f t="shared" si="0"/>
        <v/>
      </c>
      <c r="G35" s="689" t="str">
        <f>IF(F35="","You have indicated that the implementation does not include Monitoring &amp; Evaluation costs. Please review the Description to ensure no budget is required for this activity. Return to the Input tab if you would like to revise your selection.",IF(F35&gt;0.2,"Cost should be &lt;20% of Operations costs. Review cost entry and suggested source information from Input tab to ensure accurate input.",IF(F35&lt;=0.2,"Valid input. Cost should be &lt;20% of Operations costs.")))</f>
        <v>You have indicated that the implementation does not include Monitoring &amp; Evaluation costs. Please review the Description to ensure no budget is required for this activity. Return to the Input tab if you would like to revise your selection.</v>
      </c>
      <c r="J35" s="725"/>
      <c r="K35" s="725"/>
      <c r="L35" s="725"/>
      <c r="M35" s="725"/>
      <c r="N35" s="725"/>
      <c r="O35" s="725"/>
      <c r="P35" s="725"/>
      <c r="Q35" s="725"/>
      <c r="R35" s="725"/>
      <c r="S35" s="725"/>
    </row>
    <row r="36" spans="2:19" ht="75" hidden="1" outlineLevel="1" collapsed="1">
      <c r="B36" s="729" t="s">
        <v>44</v>
      </c>
      <c r="C36" s="729" t="s">
        <v>45</v>
      </c>
      <c r="D36" s="730">
        <f>'LMIS TCO_TZ Reference'!I35</f>
        <v>0</v>
      </c>
      <c r="E36" s="729">
        <f>'Cost summary'!H35</f>
        <v>0</v>
      </c>
      <c r="F36" s="731" t="str">
        <f t="shared" si="0"/>
        <v/>
      </c>
      <c r="G36" s="729" t="str">
        <f>IF(F36="","You have indicated that the implementation does not include Procurement costs. Please review the Description to ensure no budget is required for this activity. Return to the Input tab if you would like to revise your selection.","")</f>
        <v>You have indicated that the implementation does not include Procurement costs. Please review the Description to ensure no budget is required for this activity. Return to the Input tab if you would like to revise your selection.</v>
      </c>
      <c r="J36" s="725"/>
      <c r="K36" s="725"/>
      <c r="L36" s="725"/>
      <c r="M36" s="725"/>
      <c r="N36" s="725"/>
      <c r="O36" s="725"/>
      <c r="P36" s="725"/>
      <c r="Q36" s="725"/>
      <c r="R36" s="725"/>
      <c r="S36" s="725"/>
    </row>
    <row r="37" spans="2:19" collapsed="1">
      <c r="D37" s="723">
        <f>SUM(D23:D36)</f>
        <v>2233015</v>
      </c>
      <c r="E37" s="723">
        <f>SUM(E23:E36)</f>
        <v>0</v>
      </c>
      <c r="F37" s="718" t="str">
        <f>IF(E37=0,"",E37/E38)</f>
        <v/>
      </c>
      <c r="G37" s="689" t="str">
        <f>IF(F37="","Return to Input tab to enter Operations costs. ",IF(F37&gt;=0.4,"Valid input. Operations costs should be greater than 40% of TCO.",IF(F37&lt;0.4,"Operations costs should be greater than 40% of TCO. Review cost entry and suggested source information from Input tab to ensure accurate input.")))</f>
        <v xml:space="preserve">Return to Input tab to enter Operations costs. </v>
      </c>
      <c r="J37" s="725"/>
      <c r="K37" s="725"/>
      <c r="L37" s="725"/>
      <c r="M37" s="725"/>
      <c r="N37" s="725"/>
      <c r="O37" s="725"/>
      <c r="P37" s="725"/>
      <c r="Q37" s="725"/>
      <c r="R37" s="725"/>
      <c r="S37" s="725"/>
    </row>
    <row r="38" spans="2:19" ht="15.75" thickBot="1">
      <c r="B38" s="732" t="s">
        <v>632</v>
      </c>
      <c r="C38" s="732"/>
      <c r="D38" s="733">
        <f>SUM(D37,D21,D12)</f>
        <v>4278293</v>
      </c>
      <c r="E38" s="733">
        <f>SUM(E37,E21,E12)</f>
        <v>0</v>
      </c>
      <c r="F38" s="732"/>
      <c r="G38" s="732"/>
      <c r="J38" s="725"/>
      <c r="K38" s="725"/>
      <c r="L38" s="725"/>
      <c r="M38" s="725"/>
      <c r="N38" s="725"/>
      <c r="O38" s="725"/>
      <c r="P38" s="725"/>
      <c r="Q38" s="725"/>
      <c r="R38" s="725"/>
      <c r="S38" s="725"/>
    </row>
    <row r="39" spans="2:19">
      <c r="J39" s="725"/>
      <c r="K39" s="725"/>
      <c r="L39" s="725"/>
      <c r="M39" s="725"/>
      <c r="N39" s="725"/>
      <c r="O39" s="725"/>
      <c r="P39" s="725"/>
      <c r="Q39" s="725"/>
      <c r="R39" s="725"/>
      <c r="S39" s="725"/>
    </row>
    <row r="40" spans="2:19" ht="18.75">
      <c r="B40" s="1020" t="s">
        <v>1601</v>
      </c>
      <c r="C40" s="1020"/>
      <c r="D40" s="1020"/>
      <c r="E40" s="1020"/>
      <c r="F40" s="1020"/>
      <c r="G40" s="1020"/>
      <c r="J40" s="725"/>
      <c r="K40" s="725"/>
      <c r="L40" s="725"/>
      <c r="M40" s="725"/>
      <c r="N40" s="725"/>
      <c r="O40" s="725"/>
      <c r="P40" s="725"/>
      <c r="Q40" s="725"/>
      <c r="R40" s="725"/>
      <c r="S40" s="725"/>
    </row>
    <row r="41" spans="2:19">
      <c r="B41" s="734"/>
      <c r="C41" s="735"/>
      <c r="D41" s="735"/>
      <c r="E41" s="735"/>
      <c r="F41" s="735"/>
      <c r="G41" s="735"/>
      <c r="H41" s="725"/>
      <c r="I41" s="725"/>
      <c r="J41" s="725"/>
      <c r="K41" s="725"/>
      <c r="L41" s="725"/>
      <c r="M41" s="725"/>
      <c r="N41" s="725"/>
      <c r="O41" s="725"/>
      <c r="P41" s="725"/>
      <c r="Q41" s="725"/>
      <c r="R41" s="725"/>
      <c r="S41" s="725"/>
    </row>
    <row r="42" spans="2:19">
      <c r="J42" s="725"/>
      <c r="K42" s="725"/>
      <c r="L42" s="725"/>
      <c r="M42" s="725"/>
      <c r="N42" s="725"/>
      <c r="O42" s="725"/>
      <c r="P42" s="725"/>
      <c r="Q42" s="725"/>
      <c r="R42" s="725"/>
      <c r="S42" s="725"/>
    </row>
    <row r="43" spans="2:19" s="736" customFormat="1"/>
    <row r="44" spans="2:19" s="736" customFormat="1"/>
    <row r="45" spans="2:19" s="736" customFormat="1"/>
    <row r="46" spans="2:19" s="736" customFormat="1" ht="45">
      <c r="C46" s="736" t="s">
        <v>1602</v>
      </c>
      <c r="D46" s="736" t="s">
        <v>1603</v>
      </c>
      <c r="F46" s="737"/>
    </row>
    <row r="47" spans="2:19" s="736" customFormat="1">
      <c r="B47" s="736" t="s">
        <v>332</v>
      </c>
      <c r="C47" s="738" t="str">
        <f>IF(E12=0,"",E12)</f>
        <v/>
      </c>
      <c r="D47" s="738">
        <f>D12</f>
        <v>751000</v>
      </c>
      <c r="E47" s="738"/>
    </row>
    <row r="48" spans="2:19" s="736" customFormat="1">
      <c r="B48" s="736" t="s">
        <v>296</v>
      </c>
      <c r="C48" s="738">
        <f>E21</f>
        <v>0</v>
      </c>
      <c r="D48" s="738">
        <f>D21</f>
        <v>1294278</v>
      </c>
      <c r="E48" s="738"/>
    </row>
    <row r="49" spans="2:5" s="736" customFormat="1">
      <c r="B49" s="736" t="s">
        <v>301</v>
      </c>
      <c r="C49" s="738">
        <f>E37</f>
        <v>0</v>
      </c>
      <c r="D49" s="738">
        <f>D37</f>
        <v>2233015</v>
      </c>
      <c r="E49" s="738"/>
    </row>
    <row r="50" spans="2:5" s="736" customFormat="1"/>
    <row r="51" spans="2:5" s="736" customFormat="1"/>
    <row r="52" spans="2:5" s="736" customFormat="1"/>
    <row r="53" spans="2:5" s="736" customFormat="1"/>
    <row r="54" spans="2:5" s="736" customFormat="1"/>
    <row r="55" spans="2:5" s="736" customFormat="1"/>
    <row r="56" spans="2:5" s="736" customFormat="1"/>
    <row r="57" spans="2:5" s="736" customFormat="1"/>
  </sheetData>
  <sheetProtection algorithmName="SHA-512" hashValue="ziXSFwDxEw6uwnIBi3E9srcKM5pTr7JpngmURPThIp9oUURmuLTUIApV7CcAJ5iCUwCoX8glMlp3KH4tm7ThbQ==" saltValue="+zW9UTjGNruZhDQ9cObplQ==" spinCount="100000" sheet="1" formatColumns="0" formatRows="0"/>
  <mergeCells count="3">
    <mergeCell ref="B40:G40"/>
    <mergeCell ref="B2:G2"/>
    <mergeCell ref="B3:F3"/>
  </mergeCells>
  <hyperlinks>
    <hyperlink ref="B1" location="Menu!D13" tooltip="Menu" display="&lt;&lt; Menu" xr:uid="{7BE908D5-2E27-0940-A30B-3D366EF6DD56}"/>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16</vt:i4>
      </vt:variant>
    </vt:vector>
  </HeadingPairs>
  <TitlesOfParts>
    <vt:vector size="52" baseType="lpstr">
      <vt:lpstr>Menu</vt:lpstr>
      <vt:lpstr>User guide</vt:lpstr>
      <vt:lpstr>Scope of implementation</vt:lpstr>
      <vt:lpstr>Development costs</vt:lpstr>
      <vt:lpstr>Deployment costs</vt:lpstr>
      <vt:lpstr>Operations costs</vt:lpstr>
      <vt:lpstr>Cybersecurity costs</vt:lpstr>
      <vt:lpstr>Cost summary</vt:lpstr>
      <vt:lpstr>Benchmarking</vt:lpstr>
      <vt:lpstr>Budget commitments and gaps</vt:lpstr>
      <vt:lpstr>Calculator</vt:lpstr>
      <vt:lpstr>Cybersecurity_template</vt:lpstr>
      <vt:lpstr>Scaling inputs</vt:lpstr>
      <vt:lpstr>Value lists</vt:lpstr>
      <vt:lpstr>Sheet12</vt:lpstr>
      <vt:lpstr>Sheet13</vt:lpstr>
      <vt:lpstr>Sheet14</vt:lpstr>
      <vt:lpstr>Tool logic</vt:lpstr>
      <vt:lpstr>Notes - Operations Costs</vt:lpstr>
      <vt:lpstr>Notes - Scope of Implemntn.</vt:lpstr>
      <vt:lpstr>Notes - Development Costs</vt:lpstr>
      <vt:lpstr>Notes - Deployment Costs</vt:lpstr>
      <vt:lpstr>Countries</vt:lpstr>
      <vt:lpstr>Salary input data </vt:lpstr>
      <vt:lpstr>Possible edits</vt:lpstr>
      <vt:lpstr>Suggested input data </vt:lpstr>
      <vt:lpstr>Labor tab Example </vt:lpstr>
      <vt:lpstr>LMIS TCO Summary</vt:lpstr>
      <vt:lpstr>LMIS TCO</vt:lpstr>
      <vt:lpstr>LMIS TCO_TZ Reference</vt:lpstr>
      <vt:lpstr>CommCare TCO</vt:lpstr>
      <vt:lpstr>CommCare TCO per year</vt:lpstr>
      <vt:lpstr>Approach and questions</vt:lpstr>
      <vt:lpstr>Cost category comparison</vt:lpstr>
      <vt:lpstr>Cost data triangulation</vt:lpstr>
      <vt:lpstr>Variance by % of TCO</vt:lpstr>
      <vt:lpstr>'Budget commitments and gaps'!Hosting</vt:lpstr>
      <vt:lpstr>'Cybersecurity costs'!Hosting</vt:lpstr>
      <vt:lpstr>Cybersecurity_template!Hosting</vt:lpstr>
      <vt:lpstr>'Development costs'!Hosting</vt:lpstr>
      <vt:lpstr>'Notes - Deployment Costs'!Hosting</vt:lpstr>
      <vt:lpstr>'Notes - Operations Costs'!Hosting</vt:lpstr>
      <vt:lpstr>'Notes - Scope of Implemntn.'!Hosting</vt:lpstr>
      <vt:lpstr>Hosting</vt:lpstr>
      <vt:lpstr>'Budget commitments and gaps'!Selection</vt:lpstr>
      <vt:lpstr>'Cybersecurity costs'!Selection</vt:lpstr>
      <vt:lpstr>Cybersecurity_template!Selection</vt:lpstr>
      <vt:lpstr>'Development costs'!Selection</vt:lpstr>
      <vt:lpstr>'Notes - Deployment Costs'!Selection</vt:lpstr>
      <vt:lpstr>'Notes - Operations Costs'!Selection</vt:lpstr>
      <vt:lpstr>'Notes - Scope of Implemntn.'!Selection</vt:lpstr>
      <vt:lpstr>Selection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Herrick, Tara</dc:creator>
  <cp:lastModifiedBy>Peder Digre</cp:lastModifiedBy>
  <cp:lastPrinted>2022-11-07T16:34:40Z</cp:lastPrinted>
  <dcterms:created xsi:type="dcterms:W3CDTF">2021-07-26T21:39:51Z</dcterms:created>
  <dcterms:modified xsi:type="dcterms:W3CDTF">2024-12-03T19:41:07Z</dcterms:modified>
</cp:coreProperties>
</file>